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620783bd5d64abe/Simpson County WD/"/>
    </mc:Choice>
  </mc:AlternateContent>
  <xr:revisionPtr revIDLastSave="14" documentId="8_{87E5001E-E039-4C99-BBB7-EE02CD0B49D9}" xr6:coauthVersionLast="47" xr6:coauthVersionMax="47" xr10:uidLastSave="{24E66973-3881-497A-AF77-0CAD3595822C}"/>
  <bookViews>
    <workbookView xWindow="8" yWindow="653" windowWidth="20512" windowHeight="12645" tabRatio="602" xr2:uid="{66DCB12E-7761-47D1-A8C5-985704888B5C}"/>
  </bookViews>
  <sheets>
    <sheet name="SAO - DSC" sheetId="3" r:id="rId1"/>
    <sheet name="Emp Sal &amp; Wages" sheetId="63" r:id="rId2"/>
    <sheet name="Emp Pension &amp; Benefits" sheetId="62" r:id="rId3"/>
    <sheet name="Emp Health &amp; Dentail Prem" sheetId="61" r:id="rId4"/>
    <sheet name="FICA" sheetId="57" r:id="rId5"/>
    <sheet name="WatPurch" sheetId="23" r:id="rId6"/>
    <sheet name="Dep Adj" sheetId="64" r:id="rId7"/>
    <sheet name="Dep Sch " sheetId="65" r:id="rId8"/>
    <sheet name="Debt Sch" sheetId="5" r:id="rId9"/>
    <sheet name="Debt Amort" sheetId="56" r:id="rId10"/>
    <sheet name="CurRates" sheetId="25" r:id="rId11"/>
    <sheet name="Ex-BA" sheetId="59" r:id="rId12"/>
    <sheet name="Rates Comp" sheetId="2" r:id="rId13"/>
    <sheet name="Prop_BA" sheetId="66" r:id="rId14"/>
    <sheet name="Table A" sheetId="44" r:id="rId15"/>
    <sheet name="Tble B" sheetId="45" r:id="rId16"/>
    <sheet name="Table C" sheetId="43" r:id="rId17"/>
    <sheet name="Table D" sheetId="38" r:id="rId18"/>
    <sheet name="5-8-Inch" sheetId="67" r:id="rId19"/>
    <sheet name="1-Inch" sheetId="68" r:id="rId20"/>
    <sheet name="1.5-Inch" sheetId="69" r:id="rId21"/>
    <sheet name="2-Inch" sheetId="70" r:id="rId22"/>
    <sheet name="3-Inch" sheetId="71" r:id="rId23"/>
    <sheet name="4-Inch" sheetId="72" r:id="rId24"/>
    <sheet name="6-Inch" sheetId="73" r:id="rId25"/>
    <sheet name="8-Inch" sheetId="74" r:id="rId26"/>
  </sheets>
  <definedNames>
    <definedName name="_xlnm.Print_Area" localSheetId="10">CurRates!$C$2:$H$17</definedName>
    <definedName name="_xlnm.Print_Area" localSheetId="8">'Debt Sch'!$C$2:$E$24</definedName>
    <definedName name="_xlnm.Print_Area" localSheetId="12">'Rates Comp'!#REF!</definedName>
    <definedName name="_xlnm.Print_Area" localSheetId="0">'SAO - DSC'!$B$2:$M$59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8" i="65" l="1"/>
  <c r="J78" i="65"/>
  <c r="P77" i="65"/>
  <c r="R77" i="65" s="1"/>
  <c r="P76" i="65"/>
  <c r="R76" i="65" s="1"/>
  <c r="R75" i="65"/>
  <c r="P75" i="65"/>
  <c r="P74" i="65"/>
  <c r="R74" i="65" s="1"/>
  <c r="P73" i="65"/>
  <c r="R73" i="65" s="1"/>
  <c r="L72" i="65"/>
  <c r="P72" i="65" s="1"/>
  <c r="R72" i="65" s="1"/>
  <c r="F72" i="65"/>
  <c r="L71" i="65"/>
  <c r="P71" i="65" s="1"/>
  <c r="R71" i="65" s="1"/>
  <c r="F71" i="65"/>
  <c r="P70" i="65"/>
  <c r="R70" i="65" s="1"/>
  <c r="P69" i="65"/>
  <c r="R69" i="65" s="1"/>
  <c r="R68" i="65"/>
  <c r="P68" i="65"/>
  <c r="L67" i="65"/>
  <c r="P67" i="65" s="1"/>
  <c r="R67" i="65" s="1"/>
  <c r="F67" i="65"/>
  <c r="R66" i="65"/>
  <c r="P66" i="65"/>
  <c r="L66" i="65"/>
  <c r="L78" i="65" s="1"/>
  <c r="H66" i="65"/>
  <c r="H78" i="65" s="1"/>
  <c r="F66" i="65"/>
  <c r="P65" i="65"/>
  <c r="R65" i="65" s="1"/>
  <c r="P64" i="65"/>
  <c r="R64" i="65" s="1"/>
  <c r="P63" i="65"/>
  <c r="R63" i="65" s="1"/>
  <c r="P62" i="65"/>
  <c r="R62" i="65" s="1"/>
  <c r="P61" i="65"/>
  <c r="R61" i="65" s="1"/>
  <c r="P60" i="65"/>
  <c r="R60" i="65" s="1"/>
  <c r="P59" i="65"/>
  <c r="R59" i="65" s="1"/>
  <c r="P58" i="65"/>
  <c r="R58" i="65" s="1"/>
  <c r="P57" i="65"/>
  <c r="F56" i="65"/>
  <c r="F78" i="65" s="1"/>
  <c r="N26" i="65"/>
  <c r="P29" i="65" s="1"/>
  <c r="P42" i="65" s="1"/>
  <c r="J26" i="65"/>
  <c r="P25" i="65"/>
  <c r="R25" i="65" s="1"/>
  <c r="R24" i="65"/>
  <c r="P24" i="65"/>
  <c r="P23" i="65"/>
  <c r="R23" i="65" s="1"/>
  <c r="P22" i="65"/>
  <c r="R22" i="65" s="1"/>
  <c r="R21" i="65"/>
  <c r="P21" i="65"/>
  <c r="L20" i="65"/>
  <c r="P20" i="65" s="1"/>
  <c r="H20" i="65"/>
  <c r="R20" i="65" s="1"/>
  <c r="F20" i="65"/>
  <c r="L19" i="65"/>
  <c r="P19" i="65" s="1"/>
  <c r="R19" i="65" s="1"/>
  <c r="H19" i="65"/>
  <c r="F19" i="65"/>
  <c r="R18" i="65"/>
  <c r="P18" i="65"/>
  <c r="R17" i="65"/>
  <c r="P17" i="65"/>
  <c r="P16" i="65"/>
  <c r="R16" i="65" s="1"/>
  <c r="R15" i="65"/>
  <c r="P15" i="65"/>
  <c r="R14" i="65"/>
  <c r="P14" i="65"/>
  <c r="P13" i="65"/>
  <c r="R13" i="65" s="1"/>
  <c r="L12" i="65"/>
  <c r="L26" i="65" s="1"/>
  <c r="H12" i="65"/>
  <c r="H26" i="65" s="1"/>
  <c r="F12" i="65"/>
  <c r="P11" i="65"/>
  <c r="R11" i="65" s="1"/>
  <c r="P10" i="65"/>
  <c r="R10" i="65" s="1"/>
  <c r="R9" i="65"/>
  <c r="P9" i="65"/>
  <c r="P8" i="65"/>
  <c r="F7" i="65"/>
  <c r="F26" i="65" s="1"/>
  <c r="P78" i="65" l="1"/>
  <c r="R57" i="65"/>
  <c r="R78" i="65" s="1"/>
  <c r="P12" i="65"/>
  <c r="R12" i="65" s="1"/>
  <c r="R8" i="65"/>
  <c r="R26" i="65" s="1"/>
  <c r="P26" i="65" l="1"/>
  <c r="P44" i="65" s="1"/>
  <c r="D88" i="38" l="1"/>
  <c r="D89" i="38"/>
  <c r="D90" i="38"/>
  <c r="D91" i="38"/>
  <c r="D92" i="38"/>
  <c r="D93" i="38"/>
  <c r="D94" i="38"/>
  <c r="F74" i="43"/>
  <c r="F75" i="43"/>
  <c r="F76" i="43"/>
  <c r="F77" i="43"/>
  <c r="F78" i="43"/>
  <c r="F79" i="43"/>
  <c r="F80" i="43"/>
  <c r="O75" i="2" l="1"/>
  <c r="O76" i="2"/>
  <c r="O77" i="2"/>
  <c r="O78" i="2"/>
  <c r="O79" i="2"/>
  <c r="O80" i="2"/>
  <c r="F74" i="2"/>
  <c r="F75" i="2"/>
  <c r="F76" i="2"/>
  <c r="F77" i="2"/>
  <c r="F78" i="2"/>
  <c r="F79" i="2"/>
  <c r="F80" i="2"/>
  <c r="F73" i="2"/>
  <c r="N28" i="44" l="1"/>
  <c r="J28" i="44"/>
  <c r="P27" i="44"/>
  <c r="R27" i="44" s="1"/>
  <c r="P26" i="44"/>
  <c r="R26" i="44" s="1"/>
  <c r="R25" i="44"/>
  <c r="P25" i="44"/>
  <c r="P24" i="44"/>
  <c r="R24" i="44" s="1"/>
  <c r="R23" i="44"/>
  <c r="P23" i="44"/>
  <c r="L22" i="44"/>
  <c r="P22" i="44" s="1"/>
  <c r="R22" i="44" s="1"/>
  <c r="H22" i="44"/>
  <c r="F22" i="44"/>
  <c r="P21" i="44"/>
  <c r="R21" i="44" s="1"/>
  <c r="L21" i="44"/>
  <c r="H21" i="44"/>
  <c r="F21" i="44"/>
  <c r="R20" i="44"/>
  <c r="P20" i="44"/>
  <c r="P19" i="44"/>
  <c r="R19" i="44" s="1"/>
  <c r="R18" i="44"/>
  <c r="P18" i="44"/>
  <c r="P17" i="44"/>
  <c r="R17" i="44" s="1"/>
  <c r="R16" i="44"/>
  <c r="P16" i="44"/>
  <c r="R15" i="44"/>
  <c r="P15" i="44"/>
  <c r="L14" i="44"/>
  <c r="L28" i="44" s="1"/>
  <c r="H14" i="44"/>
  <c r="F14" i="44"/>
  <c r="P13" i="44"/>
  <c r="R13" i="44" s="1"/>
  <c r="P12" i="44"/>
  <c r="R12" i="44" s="1"/>
  <c r="P11" i="44"/>
  <c r="R11" i="44" s="1"/>
  <c r="P10" i="44"/>
  <c r="F9" i="44"/>
  <c r="F28" i="44" s="1"/>
  <c r="J18" i="64"/>
  <c r="H28" i="44" l="1"/>
  <c r="P14" i="44"/>
  <c r="R14" i="44" s="1"/>
  <c r="R10" i="44"/>
  <c r="R28" i="44" l="1"/>
  <c r="P28" i="44"/>
  <c r="H164" i="59" l="1"/>
  <c r="F73" i="43" l="1"/>
  <c r="D69" i="38"/>
  <c r="L22" i="72"/>
  <c r="S15" i="72"/>
  <c r="V15" i="72"/>
  <c r="N15" i="72"/>
  <c r="P15" i="72" s="1"/>
  <c r="V14" i="72"/>
  <c r="S14" i="72"/>
  <c r="M14" i="72"/>
  <c r="N22" i="72" l="1"/>
  <c r="M22" i="72"/>
  <c r="P22" i="72" s="1"/>
  <c r="U15" i="72"/>
  <c r="T15" i="72"/>
  <c r="N14" i="72"/>
  <c r="P14" i="72"/>
  <c r="T14" i="72"/>
  <c r="W15" i="72" l="1"/>
  <c r="U14" i="72"/>
  <c r="W14" i="72"/>
  <c r="F16" i="64" l="1"/>
  <c r="J15" i="64"/>
  <c r="J14" i="64"/>
  <c r="J13" i="64"/>
  <c r="J12" i="64"/>
  <c r="J11" i="64"/>
  <c r="J10" i="64"/>
  <c r="J9" i="64"/>
  <c r="J16" i="64" s="1"/>
  <c r="J22" i="64" s="1"/>
  <c r="B12" i="69" l="1"/>
  <c r="D87" i="38"/>
  <c r="D80" i="38"/>
  <c r="D81" i="38"/>
  <c r="D82" i="38"/>
  <c r="D83" i="38"/>
  <c r="D79" i="38"/>
  <c r="D11" i="74"/>
  <c r="D12" i="74"/>
  <c r="O9" i="74" s="1"/>
  <c r="D10" i="74"/>
  <c r="M9" i="74" s="1"/>
  <c r="D9" i="74"/>
  <c r="V8" i="74"/>
  <c r="O8" i="74"/>
  <c r="L9" i="74"/>
  <c r="S10" i="74"/>
  <c r="S11" i="74"/>
  <c r="B12" i="74"/>
  <c r="D11" i="73"/>
  <c r="D12" i="73"/>
  <c r="O9" i="73" s="1"/>
  <c r="D10" i="73"/>
  <c r="D9" i="73"/>
  <c r="V8" i="73"/>
  <c r="O8" i="73"/>
  <c r="B12" i="73"/>
  <c r="V14" i="74"/>
  <c r="S14" i="74"/>
  <c r="M14" i="74"/>
  <c r="T14" i="74" s="1"/>
  <c r="V13" i="74"/>
  <c r="S13" i="74"/>
  <c r="M13" i="74"/>
  <c r="T13" i="74" s="1"/>
  <c r="V12" i="74"/>
  <c r="S12" i="74"/>
  <c r="M12" i="74"/>
  <c r="N12" i="74" s="1"/>
  <c r="V11" i="74"/>
  <c r="N9" i="74"/>
  <c r="V10" i="74"/>
  <c r="U10" i="74"/>
  <c r="M10" i="74"/>
  <c r="L16" i="74"/>
  <c r="V14" i="73"/>
  <c r="S14" i="73"/>
  <c r="M14" i="73"/>
  <c r="T14" i="73" s="1"/>
  <c r="V13" i="73"/>
  <c r="S13" i="73"/>
  <c r="M13" i="73"/>
  <c r="T13" i="73" s="1"/>
  <c r="V12" i="73"/>
  <c r="S12" i="73"/>
  <c r="M12" i="73"/>
  <c r="N12" i="73" s="1"/>
  <c r="V11" i="73"/>
  <c r="S11" i="73"/>
  <c r="M11" i="73"/>
  <c r="M17" i="73" s="1"/>
  <c r="N9" i="73"/>
  <c r="V10" i="73"/>
  <c r="U10" i="73"/>
  <c r="S10" i="73"/>
  <c r="M10" i="73"/>
  <c r="M9" i="73"/>
  <c r="L9" i="73"/>
  <c r="L16" i="73" s="1"/>
  <c r="D11" i="72"/>
  <c r="N9" i="72" s="1"/>
  <c r="N21" i="72" s="1"/>
  <c r="D12" i="72"/>
  <c r="D10" i="72"/>
  <c r="D9" i="72"/>
  <c r="L9" i="72" s="1"/>
  <c r="L17" i="72" s="1"/>
  <c r="V8" i="72"/>
  <c r="O8" i="72"/>
  <c r="B12" i="72"/>
  <c r="V13" i="72"/>
  <c r="S13" i="72"/>
  <c r="M13" i="72"/>
  <c r="V12" i="72"/>
  <c r="S12" i="72"/>
  <c r="M12" i="72"/>
  <c r="N12" i="72" s="1"/>
  <c r="V11" i="72"/>
  <c r="S11" i="72"/>
  <c r="M11" i="72"/>
  <c r="N11" i="72" s="1"/>
  <c r="O9" i="72"/>
  <c r="V10" i="72"/>
  <c r="U10" i="72"/>
  <c r="S10" i="72"/>
  <c r="M10" i="72"/>
  <c r="M9" i="72"/>
  <c r="M21" i="72" s="1"/>
  <c r="D61" i="38"/>
  <c r="D57" i="38"/>
  <c r="D58" i="38"/>
  <c r="D59" i="38"/>
  <c r="D60" i="38"/>
  <c r="D56" i="38"/>
  <c r="D11" i="71"/>
  <c r="D12" i="71"/>
  <c r="D10" i="71"/>
  <c r="D9" i="71"/>
  <c r="V8" i="71"/>
  <c r="O8" i="71"/>
  <c r="B12" i="71"/>
  <c r="V15" i="71"/>
  <c r="T15" i="71"/>
  <c r="S15" i="71"/>
  <c r="M15" i="71"/>
  <c r="N15" i="71" s="1"/>
  <c r="V14" i="71"/>
  <c r="S14" i="71"/>
  <c r="M14" i="71"/>
  <c r="V13" i="71"/>
  <c r="T13" i="71"/>
  <c r="S13" i="71"/>
  <c r="P13" i="71"/>
  <c r="N13" i="71"/>
  <c r="U13" i="71" s="1"/>
  <c r="M13" i="71"/>
  <c r="V12" i="71"/>
  <c r="T12" i="71"/>
  <c r="S12" i="71"/>
  <c r="M12" i="71"/>
  <c r="N12" i="71" s="1"/>
  <c r="V11" i="71"/>
  <c r="U11" i="71"/>
  <c r="S11" i="71"/>
  <c r="M11" i="71"/>
  <c r="V10" i="71"/>
  <c r="U10" i="71"/>
  <c r="T10" i="71"/>
  <c r="S10" i="71"/>
  <c r="M10" i="71"/>
  <c r="O9" i="71"/>
  <c r="N9" i="71"/>
  <c r="N20" i="71" s="1"/>
  <c r="M9" i="71"/>
  <c r="M20" i="71" s="1"/>
  <c r="L9" i="71"/>
  <c r="L17" i="71" s="1"/>
  <c r="M12" i="70"/>
  <c r="M13" i="70"/>
  <c r="M14" i="70"/>
  <c r="M15" i="70"/>
  <c r="M10" i="70"/>
  <c r="V8" i="70"/>
  <c r="O8" i="70"/>
  <c r="L9" i="70"/>
  <c r="B12" i="70"/>
  <c r="D48" i="38"/>
  <c r="D11" i="70"/>
  <c r="N9" i="70" s="1"/>
  <c r="D12" i="70"/>
  <c r="O9" i="70" s="1"/>
  <c r="D10" i="70"/>
  <c r="M9" i="70" s="1"/>
  <c r="D9" i="70"/>
  <c r="V15" i="70"/>
  <c r="V14" i="70"/>
  <c r="V13" i="70"/>
  <c r="V12" i="70"/>
  <c r="V11" i="70"/>
  <c r="U11" i="70"/>
  <c r="V10" i="70"/>
  <c r="U10" i="70"/>
  <c r="T10" i="70"/>
  <c r="L17" i="70"/>
  <c r="L10" i="69"/>
  <c r="L11" i="69" s="1"/>
  <c r="D12" i="69"/>
  <c r="O9" i="69" s="1"/>
  <c r="D11" i="69"/>
  <c r="N9" i="69" s="1"/>
  <c r="D10" i="69"/>
  <c r="M9" i="69" s="1"/>
  <c r="D9" i="69"/>
  <c r="L9" i="69" s="1"/>
  <c r="L17" i="69" s="1"/>
  <c r="V15" i="69"/>
  <c r="V14" i="69"/>
  <c r="V13" i="69"/>
  <c r="V12" i="69"/>
  <c r="V11" i="69"/>
  <c r="U11" i="69"/>
  <c r="V10" i="69"/>
  <c r="U10" i="69"/>
  <c r="T10" i="69"/>
  <c r="S10" i="69"/>
  <c r="V8" i="69"/>
  <c r="O8" i="69"/>
  <c r="D13" i="68"/>
  <c r="P9" i="68" s="1"/>
  <c r="D12" i="68"/>
  <c r="O9" i="68" s="1"/>
  <c r="D11" i="68"/>
  <c r="N9" i="68" s="1"/>
  <c r="D10" i="68"/>
  <c r="M9" i="68" s="1"/>
  <c r="D9" i="68"/>
  <c r="L9" i="68" s="1"/>
  <c r="N10" i="67"/>
  <c r="D11" i="67"/>
  <c r="O9" i="67" s="1"/>
  <c r="D12" i="67"/>
  <c r="P9" i="67" s="1"/>
  <c r="D13" i="67"/>
  <c r="Q9" i="67" s="1"/>
  <c r="D10" i="67"/>
  <c r="N9" i="67" s="1"/>
  <c r="D9" i="67"/>
  <c r="M9" i="67" s="1"/>
  <c r="T12" i="74" l="1"/>
  <c r="M18" i="74"/>
  <c r="M18" i="73"/>
  <c r="T12" i="73"/>
  <c r="M16" i="74"/>
  <c r="P16" i="74" s="1"/>
  <c r="M11" i="74"/>
  <c r="N13" i="73"/>
  <c r="N19" i="73" s="1"/>
  <c r="N11" i="73"/>
  <c r="P11" i="73" s="1"/>
  <c r="L17" i="74"/>
  <c r="P12" i="74"/>
  <c r="U12" i="74"/>
  <c r="N18" i="74"/>
  <c r="P10" i="74"/>
  <c r="N14" i="74"/>
  <c r="P14" i="74"/>
  <c r="T10" i="74"/>
  <c r="M20" i="74"/>
  <c r="N13" i="74"/>
  <c r="M19" i="74"/>
  <c r="L17" i="73"/>
  <c r="M16" i="73"/>
  <c r="P16" i="73" s="1"/>
  <c r="D72" i="38" s="1"/>
  <c r="P12" i="73"/>
  <c r="U12" i="73"/>
  <c r="N18" i="73"/>
  <c r="P10" i="73"/>
  <c r="T11" i="73"/>
  <c r="N14" i="73"/>
  <c r="P14" i="73"/>
  <c r="T10" i="73"/>
  <c r="M20" i="73"/>
  <c r="M19" i="73"/>
  <c r="M20" i="72"/>
  <c r="T11" i="72"/>
  <c r="M19" i="72"/>
  <c r="M17" i="72"/>
  <c r="T12" i="72"/>
  <c r="U12" i="72"/>
  <c r="P12" i="72"/>
  <c r="N19" i="72"/>
  <c r="P11" i="72"/>
  <c r="N18" i="72"/>
  <c r="U11" i="72"/>
  <c r="T10" i="72"/>
  <c r="N13" i="72"/>
  <c r="P13" i="72" s="1"/>
  <c r="M18" i="72"/>
  <c r="T13" i="72"/>
  <c r="P10" i="72"/>
  <c r="M18" i="71"/>
  <c r="M21" i="71"/>
  <c r="L18" i="71"/>
  <c r="P17" i="71"/>
  <c r="P12" i="71"/>
  <c r="N19" i="71"/>
  <c r="U12" i="71"/>
  <c r="W15" i="71"/>
  <c r="W12" i="71"/>
  <c r="P15" i="71"/>
  <c r="N22" i="71"/>
  <c r="U15" i="71"/>
  <c r="W13" i="71"/>
  <c r="T11" i="71"/>
  <c r="N14" i="71"/>
  <c r="P14" i="71"/>
  <c r="M19" i="71"/>
  <c r="M22" i="71"/>
  <c r="T14" i="71"/>
  <c r="P11" i="71"/>
  <c r="L12" i="69"/>
  <c r="S11" i="69"/>
  <c r="M11" i="70"/>
  <c r="S11" i="70"/>
  <c r="P11" i="70"/>
  <c r="P17" i="70"/>
  <c r="L18" i="70"/>
  <c r="S10" i="70"/>
  <c r="L18" i="69"/>
  <c r="P17" i="69"/>
  <c r="D36" i="38" s="1"/>
  <c r="M11" i="69"/>
  <c r="U11" i="73" l="1"/>
  <c r="N17" i="73"/>
  <c r="M17" i="74"/>
  <c r="T11" i="74"/>
  <c r="N11" i="74"/>
  <c r="U13" i="73"/>
  <c r="P13" i="73"/>
  <c r="L18" i="74"/>
  <c r="U13" i="74"/>
  <c r="N19" i="74"/>
  <c r="P13" i="74"/>
  <c r="W10" i="74"/>
  <c r="U14" i="74"/>
  <c r="N20" i="74"/>
  <c r="W12" i="74"/>
  <c r="W11" i="73"/>
  <c r="W12" i="73"/>
  <c r="L18" i="73"/>
  <c r="P17" i="73"/>
  <c r="D73" i="38" s="1"/>
  <c r="W10" i="73"/>
  <c r="U14" i="73"/>
  <c r="N20" i="73"/>
  <c r="W11" i="72"/>
  <c r="N20" i="72"/>
  <c r="U13" i="72"/>
  <c r="W12" i="72"/>
  <c r="L18" i="72"/>
  <c r="P17" i="72"/>
  <c r="D64" i="38" s="1"/>
  <c r="W10" i="72"/>
  <c r="N21" i="71"/>
  <c r="U14" i="71"/>
  <c r="P18" i="71"/>
  <c r="L19" i="71"/>
  <c r="W11" i="71"/>
  <c r="P11" i="69"/>
  <c r="M12" i="69"/>
  <c r="M13" i="69" s="1"/>
  <c r="L13" i="69"/>
  <c r="S12" i="69"/>
  <c r="N12" i="69"/>
  <c r="U12" i="69" s="1"/>
  <c r="L19" i="70"/>
  <c r="S12" i="70"/>
  <c r="M18" i="70"/>
  <c r="P18" i="70" s="1"/>
  <c r="D49" i="38" s="1"/>
  <c r="T11" i="70"/>
  <c r="M19" i="69"/>
  <c r="T12" i="69"/>
  <c r="L19" i="69"/>
  <c r="P12" i="69"/>
  <c r="T11" i="69"/>
  <c r="M18" i="69"/>
  <c r="P18" i="69" s="1"/>
  <c r="D37" i="38" s="1"/>
  <c r="N17" i="74" l="1"/>
  <c r="P17" i="74" s="1"/>
  <c r="U11" i="74"/>
  <c r="P11" i="74"/>
  <c r="W13" i="73"/>
  <c r="W14" i="74"/>
  <c r="L19" i="74"/>
  <c r="P18" i="74"/>
  <c r="W13" i="74"/>
  <c r="W14" i="73"/>
  <c r="L19" i="73"/>
  <c r="P18" i="73"/>
  <c r="D74" i="38" s="1"/>
  <c r="W13" i="72"/>
  <c r="L19" i="72"/>
  <c r="P18" i="72"/>
  <c r="D65" i="38" s="1"/>
  <c r="L20" i="71"/>
  <c r="P19" i="71"/>
  <c r="W14" i="71"/>
  <c r="N19" i="69"/>
  <c r="L14" i="69"/>
  <c r="S13" i="69"/>
  <c r="N13" i="69"/>
  <c r="M14" i="69"/>
  <c r="M20" i="69"/>
  <c r="T13" i="69"/>
  <c r="M19" i="70"/>
  <c r="T12" i="70"/>
  <c r="S13" i="70"/>
  <c r="N13" i="70"/>
  <c r="W11" i="70"/>
  <c r="N12" i="70"/>
  <c r="P12" i="70" s="1"/>
  <c r="L20" i="70"/>
  <c r="L20" i="69"/>
  <c r="P19" i="69"/>
  <c r="D38" i="38" s="1"/>
  <c r="W11" i="69"/>
  <c r="W12" i="69"/>
  <c r="W11" i="74" l="1"/>
  <c r="P19" i="74"/>
  <c r="L20" i="74"/>
  <c r="P20" i="74" s="1"/>
  <c r="P19" i="73"/>
  <c r="D75" i="38" s="1"/>
  <c r="L20" i="73"/>
  <c r="P20" i="73" s="1"/>
  <c r="D76" i="38" s="1"/>
  <c r="L20" i="72"/>
  <c r="L21" i="72" s="1"/>
  <c r="P21" i="72" s="1"/>
  <c r="D68" i="38" s="1"/>
  <c r="P19" i="72"/>
  <c r="D66" i="38" s="1"/>
  <c r="L21" i="71"/>
  <c r="P20" i="71"/>
  <c r="U13" i="69"/>
  <c r="N20" i="69"/>
  <c r="P13" i="69"/>
  <c r="L15" i="69"/>
  <c r="N14" i="69"/>
  <c r="S14" i="69"/>
  <c r="M15" i="69"/>
  <c r="T14" i="69"/>
  <c r="M21" i="69"/>
  <c r="S14" i="70"/>
  <c r="U13" i="70"/>
  <c r="N20" i="70"/>
  <c r="T13" i="70"/>
  <c r="M20" i="70"/>
  <c r="P20" i="70" s="1"/>
  <c r="D51" i="38" s="1"/>
  <c r="N19" i="70"/>
  <c r="P19" i="70" s="1"/>
  <c r="D50" i="38" s="1"/>
  <c r="U12" i="70"/>
  <c r="P13" i="70"/>
  <c r="L21" i="70"/>
  <c r="P20" i="69"/>
  <c r="D39" i="38" s="1"/>
  <c r="L21" i="69"/>
  <c r="P20" i="72" l="1"/>
  <c r="D67" i="38" s="1"/>
  <c r="P21" i="71"/>
  <c r="L22" i="71"/>
  <c r="P22" i="71" s="1"/>
  <c r="W13" i="70"/>
  <c r="T15" i="69"/>
  <c r="M22" i="69"/>
  <c r="P14" i="69"/>
  <c r="U14" i="69"/>
  <c r="N21" i="69"/>
  <c r="S15" i="69"/>
  <c r="N15" i="69"/>
  <c r="P15" i="69"/>
  <c r="W13" i="69"/>
  <c r="W12" i="70"/>
  <c r="L22" i="70"/>
  <c r="N14" i="70"/>
  <c r="S15" i="70"/>
  <c r="T14" i="70"/>
  <c r="M21" i="70"/>
  <c r="L22" i="69"/>
  <c r="P21" i="69"/>
  <c r="D40" i="38" s="1"/>
  <c r="U15" i="69" l="1"/>
  <c r="N22" i="69"/>
  <c r="W14" i="69"/>
  <c r="N15" i="70"/>
  <c r="M22" i="70"/>
  <c r="T15" i="70"/>
  <c r="U14" i="70"/>
  <c r="N21" i="70"/>
  <c r="P21" i="70" s="1"/>
  <c r="D52" i="38" s="1"/>
  <c r="P14" i="70"/>
  <c r="P22" i="69"/>
  <c r="D41" i="38" s="1"/>
  <c r="W15" i="69" l="1"/>
  <c r="N22" i="70"/>
  <c r="P22" i="70" s="1"/>
  <c r="D53" i="38" s="1"/>
  <c r="U15" i="70"/>
  <c r="P15" i="70"/>
  <c r="W14" i="70"/>
  <c r="W15" i="70" l="1"/>
  <c r="H21" i="59" l="1"/>
  <c r="M14" i="68"/>
  <c r="U14" i="68" s="1"/>
  <c r="L12" i="68"/>
  <c r="T12" i="68" s="1"/>
  <c r="L11" i="68"/>
  <c r="X8" i="68"/>
  <c r="P8" i="68"/>
  <c r="B13" i="68"/>
  <c r="M30" i="68"/>
  <c r="M29" i="68"/>
  <c r="M28" i="68"/>
  <c r="M27" i="68"/>
  <c r="M26" i="68"/>
  <c r="L21" i="68"/>
  <c r="L22" i="68" s="1"/>
  <c r="U19" i="68"/>
  <c r="T19" i="68"/>
  <c r="N19" i="68"/>
  <c r="O19" i="68" s="1"/>
  <c r="U18" i="68"/>
  <c r="T18" i="68"/>
  <c r="N18" i="68"/>
  <c r="N29" i="68" s="1"/>
  <c r="X17" i="68"/>
  <c r="U17" i="68"/>
  <c r="T17" i="68"/>
  <c r="N17" i="68"/>
  <c r="V17" i="68" s="1"/>
  <c r="X16" i="68"/>
  <c r="U16" i="68"/>
  <c r="T16" i="68"/>
  <c r="N16" i="68"/>
  <c r="N27" i="68" s="1"/>
  <c r="X15" i="68"/>
  <c r="U15" i="68"/>
  <c r="T15" i="68"/>
  <c r="N15" i="68"/>
  <c r="N26" i="68" s="1"/>
  <c r="X14" i="68"/>
  <c r="W14" i="68"/>
  <c r="T14" i="68"/>
  <c r="X13" i="68"/>
  <c r="W13" i="68"/>
  <c r="T13" i="68"/>
  <c r="M13" i="68"/>
  <c r="M24" i="68" s="1"/>
  <c r="X12" i="68"/>
  <c r="W12" i="68"/>
  <c r="X11" i="68"/>
  <c r="W11" i="68"/>
  <c r="V11" i="68"/>
  <c r="T11" i="68"/>
  <c r="M11" i="68"/>
  <c r="M22" i="68" s="1"/>
  <c r="X10" i="68"/>
  <c r="W10" i="68"/>
  <c r="V10" i="68"/>
  <c r="U10" i="68"/>
  <c r="T10" i="68"/>
  <c r="B45" i="38"/>
  <c r="V10" i="67"/>
  <c r="W10" i="67"/>
  <c r="X10" i="67"/>
  <c r="Y10" i="67"/>
  <c r="W11" i="67"/>
  <c r="X11" i="67"/>
  <c r="Y11" i="67"/>
  <c r="V12" i="67"/>
  <c r="X12" i="67"/>
  <c r="Y12" i="67"/>
  <c r="X13" i="67"/>
  <c r="Y13" i="67"/>
  <c r="V14" i="67"/>
  <c r="X14" i="67"/>
  <c r="Y14" i="67"/>
  <c r="V15" i="67"/>
  <c r="Y15" i="67"/>
  <c r="V16" i="67"/>
  <c r="Y16" i="67"/>
  <c r="V17" i="67"/>
  <c r="Y17" i="67"/>
  <c r="V18" i="67"/>
  <c r="V19" i="67"/>
  <c r="U11" i="67"/>
  <c r="U12" i="67"/>
  <c r="U13" i="67"/>
  <c r="U14" i="67"/>
  <c r="U15" i="67"/>
  <c r="U16" i="67"/>
  <c r="U17" i="67"/>
  <c r="U18" i="67"/>
  <c r="U19" i="67"/>
  <c r="U10" i="67"/>
  <c r="O16" i="67"/>
  <c r="W16" i="67" s="1"/>
  <c r="O17" i="67"/>
  <c r="P17" i="67" s="1"/>
  <c r="R17" i="67" s="1"/>
  <c r="O18" i="67"/>
  <c r="W18" i="67" s="1"/>
  <c r="O19" i="67"/>
  <c r="W19" i="67" s="1"/>
  <c r="O15" i="67"/>
  <c r="P15" i="67" s="1"/>
  <c r="R15" i="67" s="1"/>
  <c r="O14" i="67"/>
  <c r="W14" i="67" s="1"/>
  <c r="N13" i="67"/>
  <c r="O13" i="67" s="1"/>
  <c r="W13" i="67" s="1"/>
  <c r="N12" i="67"/>
  <c r="Y8" i="67"/>
  <c r="Q8" i="67"/>
  <c r="B13" i="67"/>
  <c r="M21" i="67"/>
  <c r="N11" i="67"/>
  <c r="N22" i="67" s="1"/>
  <c r="P16" i="67"/>
  <c r="R16" i="67" s="1"/>
  <c r="O12" i="67"/>
  <c r="W12" i="67" s="1"/>
  <c r="N26" i="67"/>
  <c r="X17" i="67" l="1"/>
  <c r="W17" i="67"/>
  <c r="V11" i="67"/>
  <c r="Z11" i="67" s="1"/>
  <c r="P19" i="67"/>
  <c r="X16" i="67"/>
  <c r="Z16" i="67" s="1"/>
  <c r="P18" i="67"/>
  <c r="V13" i="67"/>
  <c r="Z13" i="67" s="1"/>
  <c r="X15" i="67"/>
  <c r="Z12" i="67"/>
  <c r="W15" i="67"/>
  <c r="Z15" i="67" s="1"/>
  <c r="N14" i="68"/>
  <c r="V14" i="68" s="1"/>
  <c r="Q21" i="68"/>
  <c r="D24" i="38" s="1"/>
  <c r="M25" i="68"/>
  <c r="M12" i="68"/>
  <c r="M23" i="68" s="1"/>
  <c r="N13" i="68"/>
  <c r="Q13" i="68" s="1"/>
  <c r="U13" i="68"/>
  <c r="O18" i="68"/>
  <c r="W18" i="68" s="1"/>
  <c r="O16" i="68"/>
  <c r="Q16" i="68" s="1"/>
  <c r="V18" i="68"/>
  <c r="V16" i="68"/>
  <c r="Q11" i="68"/>
  <c r="U11" i="68"/>
  <c r="Y11" i="68"/>
  <c r="L23" i="68"/>
  <c r="Q22" i="68"/>
  <c r="D25" i="38" s="1"/>
  <c r="Y14" i="68"/>
  <c r="W19" i="68"/>
  <c r="O30" i="68"/>
  <c r="P19" i="68"/>
  <c r="Q19" i="68" s="1"/>
  <c r="N25" i="68"/>
  <c r="Q14" i="68"/>
  <c r="V15" i="68"/>
  <c r="N30" i="68"/>
  <c r="O17" i="68"/>
  <c r="Q17" i="68" s="1"/>
  <c r="V19" i="68"/>
  <c r="N28" i="68"/>
  <c r="O15" i="68"/>
  <c r="Q15" i="68" s="1"/>
  <c r="O26" i="67"/>
  <c r="O23" i="67"/>
  <c r="O24" i="67"/>
  <c r="O25" i="67"/>
  <c r="R14" i="67"/>
  <c r="R12" i="67"/>
  <c r="P27" i="67"/>
  <c r="P26" i="67"/>
  <c r="R11" i="67"/>
  <c r="P28" i="67"/>
  <c r="R13" i="67"/>
  <c r="R21" i="67"/>
  <c r="D12" i="38" s="1"/>
  <c r="M22" i="67"/>
  <c r="Z14" i="67"/>
  <c r="N25" i="67"/>
  <c r="N29" i="67"/>
  <c r="N30" i="67"/>
  <c r="O29" i="67"/>
  <c r="O30" i="67"/>
  <c r="N24" i="67"/>
  <c r="N28" i="67"/>
  <c r="O28" i="67"/>
  <c r="N27" i="67"/>
  <c r="O27" i="67"/>
  <c r="N23" i="67"/>
  <c r="P30" i="67" l="1"/>
  <c r="X19" i="67"/>
  <c r="Q18" i="67"/>
  <c r="X18" i="67"/>
  <c r="R18" i="67"/>
  <c r="P29" i="67"/>
  <c r="Z17" i="67"/>
  <c r="Q19" i="67"/>
  <c r="U12" i="68"/>
  <c r="P18" i="68"/>
  <c r="Q18" i="68" s="1"/>
  <c r="O27" i="68"/>
  <c r="W16" i="68"/>
  <c r="N12" i="68"/>
  <c r="Q12" i="68" s="1"/>
  <c r="O29" i="68"/>
  <c r="N24" i="68"/>
  <c r="V13" i="68"/>
  <c r="Y16" i="68"/>
  <c r="O26" i="68"/>
  <c r="W15" i="68"/>
  <c r="X18" i="68"/>
  <c r="P29" i="68"/>
  <c r="W17" i="68"/>
  <c r="O28" i="68"/>
  <c r="X19" i="68"/>
  <c r="P30" i="68"/>
  <c r="L24" i="68"/>
  <c r="M23" i="67"/>
  <c r="R22" i="67"/>
  <c r="D13" i="38" s="1"/>
  <c r="R19" i="67" l="1"/>
  <c r="Y19" i="67"/>
  <c r="Q30" i="67"/>
  <c r="Z19" i="67"/>
  <c r="Y18" i="67"/>
  <c r="Q29" i="67"/>
  <c r="V12" i="68"/>
  <c r="N23" i="68"/>
  <c r="Q23" i="68" s="1"/>
  <c r="D26" i="38" s="1"/>
  <c r="Y13" i="68"/>
  <c r="Y12" i="68"/>
  <c r="Y18" i="68"/>
  <c r="Y15" i="68"/>
  <c r="Y17" i="68"/>
  <c r="Y19" i="68"/>
  <c r="Q24" i="68"/>
  <c r="D27" i="38" s="1"/>
  <c r="L25" i="68"/>
  <c r="M24" i="67"/>
  <c r="R23" i="67"/>
  <c r="D14" i="38" s="1"/>
  <c r="Z18" i="67" l="1"/>
  <c r="L26" i="68"/>
  <c r="Q25" i="68"/>
  <c r="D28" i="38" s="1"/>
  <c r="R24" i="67"/>
  <c r="D15" i="38" s="1"/>
  <c r="M25" i="67"/>
  <c r="Q26" i="68" l="1"/>
  <c r="D29" i="38" s="1"/>
  <c r="L27" i="68"/>
  <c r="M26" i="67"/>
  <c r="R25" i="67"/>
  <c r="D16" i="38" s="1"/>
  <c r="Q27" i="68" l="1"/>
  <c r="D30" i="38" s="1"/>
  <c r="L28" i="68"/>
  <c r="M27" i="67"/>
  <c r="R26" i="67"/>
  <c r="D17" i="38" s="1"/>
  <c r="Q28" i="68" l="1"/>
  <c r="D31" i="38" s="1"/>
  <c r="L29" i="68"/>
  <c r="R27" i="67"/>
  <c r="D18" i="38" s="1"/>
  <c r="M28" i="67"/>
  <c r="Q29" i="68" l="1"/>
  <c r="D32" i="38" s="1"/>
  <c r="L30" i="68"/>
  <c r="Q30" i="68" s="1"/>
  <c r="D33" i="38" s="1"/>
  <c r="R28" i="67"/>
  <c r="D19" i="38" s="1"/>
  <c r="M29" i="67"/>
  <c r="R29" i="67" l="1"/>
  <c r="D20" i="38" s="1"/>
  <c r="M30" i="67"/>
  <c r="R30" i="67" s="1"/>
  <c r="D21" i="38" s="1"/>
  <c r="N80" i="44" l="1"/>
  <c r="J80" i="44"/>
  <c r="P79" i="44"/>
  <c r="R79" i="44" s="1"/>
  <c r="P78" i="44"/>
  <c r="R78" i="44" s="1"/>
  <c r="P77" i="44"/>
  <c r="R77" i="44" s="1"/>
  <c r="P76" i="44"/>
  <c r="R76" i="44" s="1"/>
  <c r="P75" i="44"/>
  <c r="R75" i="44" s="1"/>
  <c r="L74" i="44"/>
  <c r="P74" i="44" s="1"/>
  <c r="R74" i="44" s="1"/>
  <c r="F74" i="44"/>
  <c r="L73" i="44"/>
  <c r="P73" i="44" s="1"/>
  <c r="R73" i="44" s="1"/>
  <c r="F73" i="44"/>
  <c r="R72" i="44"/>
  <c r="P72" i="44"/>
  <c r="P71" i="44"/>
  <c r="R71" i="44" s="1"/>
  <c r="P70" i="44"/>
  <c r="R70" i="44" s="1"/>
  <c r="L69" i="44"/>
  <c r="P69" i="44" s="1"/>
  <c r="R69" i="44" s="1"/>
  <c r="F69" i="44"/>
  <c r="L68" i="44"/>
  <c r="P68" i="44" s="1"/>
  <c r="R68" i="44" s="1"/>
  <c r="H68" i="44"/>
  <c r="H80" i="44" s="1"/>
  <c r="F68" i="44"/>
  <c r="P67" i="44"/>
  <c r="R67" i="44" s="1"/>
  <c r="P66" i="44"/>
  <c r="R66" i="44" s="1"/>
  <c r="P65" i="44"/>
  <c r="R65" i="44" s="1"/>
  <c r="P64" i="44"/>
  <c r="R64" i="44" s="1"/>
  <c r="P63" i="44"/>
  <c r="R63" i="44" s="1"/>
  <c r="P62" i="44"/>
  <c r="R62" i="44" s="1"/>
  <c r="P61" i="44"/>
  <c r="R61" i="44" s="1"/>
  <c r="P60" i="44"/>
  <c r="R60" i="44" s="1"/>
  <c r="P59" i="44"/>
  <c r="F58" i="44"/>
  <c r="H28" i="66"/>
  <c r="F148" i="66"/>
  <c r="E148" i="66"/>
  <c r="F150" i="66" s="1"/>
  <c r="G144" i="66"/>
  <c r="J143" i="66"/>
  <c r="I143" i="66"/>
  <c r="I147" i="66" s="1"/>
  <c r="H143" i="66"/>
  <c r="H147" i="66" s="1"/>
  <c r="G143" i="66"/>
  <c r="G147" i="66" s="1"/>
  <c r="F133" i="66"/>
  <c r="E133" i="66"/>
  <c r="F136" i="66" s="1"/>
  <c r="G129" i="66"/>
  <c r="J128" i="66"/>
  <c r="I128" i="66"/>
  <c r="I132" i="66" s="1"/>
  <c r="H128" i="66"/>
  <c r="H132" i="66" s="1"/>
  <c r="G128" i="66"/>
  <c r="G132" i="66" s="1"/>
  <c r="F118" i="66"/>
  <c r="E118" i="66"/>
  <c r="F121" i="66" s="1"/>
  <c r="F125" i="66" s="1"/>
  <c r="H116" i="66"/>
  <c r="G114" i="66"/>
  <c r="J113" i="66"/>
  <c r="I113" i="66"/>
  <c r="I117" i="66" s="1"/>
  <c r="H113" i="66"/>
  <c r="H117" i="66" s="1"/>
  <c r="G113" i="66"/>
  <c r="G116" i="66" s="1"/>
  <c r="F103" i="66"/>
  <c r="E103" i="66"/>
  <c r="F106" i="66" s="1"/>
  <c r="G101" i="66"/>
  <c r="G99" i="66"/>
  <c r="J98" i="66"/>
  <c r="I98" i="66"/>
  <c r="I102" i="66" s="1"/>
  <c r="H98" i="66"/>
  <c r="H102" i="66" s="1"/>
  <c r="G98" i="66"/>
  <c r="G100" i="66" s="1"/>
  <c r="F89" i="66"/>
  <c r="E89" i="66"/>
  <c r="F91" i="66" s="1"/>
  <c r="F95" i="66" s="1"/>
  <c r="G85" i="66"/>
  <c r="J84" i="66"/>
  <c r="I84" i="66"/>
  <c r="I88" i="66" s="1"/>
  <c r="H84" i="66"/>
  <c r="H88" i="66" s="1"/>
  <c r="G84" i="66"/>
  <c r="G87" i="66" s="1"/>
  <c r="G73" i="66"/>
  <c r="F73" i="66"/>
  <c r="F75" i="66" s="1"/>
  <c r="F79" i="66" s="1"/>
  <c r="H69" i="66"/>
  <c r="L69" i="66" s="1"/>
  <c r="K68" i="66"/>
  <c r="J68" i="66"/>
  <c r="J72" i="66" s="1"/>
  <c r="I68" i="66"/>
  <c r="I71" i="66" s="1"/>
  <c r="H68" i="66"/>
  <c r="H71" i="66" s="1"/>
  <c r="F58" i="66"/>
  <c r="E58" i="66"/>
  <c r="F60" i="66" s="1"/>
  <c r="F65" i="66" s="1"/>
  <c r="G53" i="66"/>
  <c r="L53" i="66" s="1"/>
  <c r="K52" i="66"/>
  <c r="J52" i="66"/>
  <c r="J57" i="66" s="1"/>
  <c r="I52" i="66"/>
  <c r="I57" i="66" s="1"/>
  <c r="H52" i="66"/>
  <c r="H57" i="66" s="1"/>
  <c r="G52" i="66"/>
  <c r="G57" i="66" s="1"/>
  <c r="D48" i="66"/>
  <c r="D47" i="66"/>
  <c r="D46" i="66"/>
  <c r="D45" i="66"/>
  <c r="D44" i="66"/>
  <c r="F42" i="66"/>
  <c r="E42" i="66"/>
  <c r="F44" i="66" s="1"/>
  <c r="G41" i="66"/>
  <c r="G38" i="66"/>
  <c r="G37" i="66"/>
  <c r="L37" i="66" s="1"/>
  <c r="K36" i="66"/>
  <c r="J36" i="66"/>
  <c r="J41" i="66" s="1"/>
  <c r="I36" i="66"/>
  <c r="I41" i="66" s="1"/>
  <c r="H36" i="66"/>
  <c r="H39" i="66" s="1"/>
  <c r="G36" i="66"/>
  <c r="G39" i="66" s="1"/>
  <c r="H17" i="3"/>
  <c r="F17" i="3"/>
  <c r="H42" i="3"/>
  <c r="L44" i="3" s="1"/>
  <c r="H44" i="3"/>
  <c r="H43" i="3"/>
  <c r="J132" i="66" l="1"/>
  <c r="J133" i="66" s="1"/>
  <c r="G139" i="66" s="1"/>
  <c r="I56" i="66"/>
  <c r="H87" i="66"/>
  <c r="H101" i="66"/>
  <c r="I101" i="66" s="1"/>
  <c r="I103" i="66" s="1"/>
  <c r="G108" i="66" s="1"/>
  <c r="H55" i="66"/>
  <c r="G88" i="66"/>
  <c r="J88" i="66" s="1"/>
  <c r="J89" i="66" s="1"/>
  <c r="G94" i="66" s="1"/>
  <c r="H56" i="66"/>
  <c r="I72" i="66"/>
  <c r="I116" i="66"/>
  <c r="I118" i="66" s="1"/>
  <c r="G123" i="66" s="1"/>
  <c r="G145" i="66"/>
  <c r="H145" i="66" s="1"/>
  <c r="G146" i="66"/>
  <c r="G40" i="66"/>
  <c r="G42" i="66" s="1"/>
  <c r="G44" i="66" s="1"/>
  <c r="I40" i="66"/>
  <c r="G117" i="66"/>
  <c r="F80" i="44"/>
  <c r="P80" i="44"/>
  <c r="R59" i="44"/>
  <c r="R80" i="44" s="1"/>
  <c r="P31" i="44"/>
  <c r="P44" i="44" s="1"/>
  <c r="L80" i="44"/>
  <c r="K57" i="66"/>
  <c r="K58" i="66" s="1"/>
  <c r="H100" i="66"/>
  <c r="H103" i="66" s="1"/>
  <c r="G107" i="66" s="1"/>
  <c r="J147" i="66"/>
  <c r="J148" i="66" s="1"/>
  <c r="G153" i="66" s="1"/>
  <c r="I87" i="66"/>
  <c r="I89" i="66" s="1"/>
  <c r="G93" i="66" s="1"/>
  <c r="F154" i="66"/>
  <c r="F140" i="66"/>
  <c r="J117" i="66"/>
  <c r="J118" i="66" s="1"/>
  <c r="G124" i="66" s="1"/>
  <c r="J71" i="66"/>
  <c r="J73" i="66" s="1"/>
  <c r="G77" i="66" s="1"/>
  <c r="L71" i="66"/>
  <c r="F110" i="66"/>
  <c r="L38" i="66"/>
  <c r="F49" i="66"/>
  <c r="I39" i="66"/>
  <c r="L39" i="66"/>
  <c r="G55" i="66"/>
  <c r="H40" i="66"/>
  <c r="H72" i="66"/>
  <c r="G102" i="66"/>
  <c r="H146" i="66"/>
  <c r="G56" i="66"/>
  <c r="G130" i="66"/>
  <c r="H130" i="66" s="1"/>
  <c r="H38" i="66"/>
  <c r="H41" i="66"/>
  <c r="H70" i="66"/>
  <c r="K85" i="66"/>
  <c r="G131" i="66"/>
  <c r="G86" i="66"/>
  <c r="G89" i="66" s="1"/>
  <c r="G91" i="66" s="1"/>
  <c r="K99" i="66"/>
  <c r="H131" i="66"/>
  <c r="G115" i="66"/>
  <c r="H115" i="66" s="1"/>
  <c r="H118" i="66" s="1"/>
  <c r="G122" i="66" s="1"/>
  <c r="G54" i="66"/>
  <c r="H148" i="66" l="1"/>
  <c r="G151" i="66" s="1"/>
  <c r="I131" i="66"/>
  <c r="I133" i="66" s="1"/>
  <c r="G138" i="66" s="1"/>
  <c r="G133" i="66"/>
  <c r="G136" i="66" s="1"/>
  <c r="J40" i="66"/>
  <c r="J42" i="66" s="1"/>
  <c r="G47" i="66" s="1"/>
  <c r="G148" i="66"/>
  <c r="G150" i="66" s="1"/>
  <c r="I42" i="66"/>
  <c r="G46" i="66" s="1"/>
  <c r="H133" i="66"/>
  <c r="G137" i="66" s="1"/>
  <c r="G140" i="66" s="1"/>
  <c r="P46" i="44"/>
  <c r="J102" i="66"/>
  <c r="J103" i="66" s="1"/>
  <c r="G109" i="66" s="1"/>
  <c r="K100" i="66"/>
  <c r="K88" i="66"/>
  <c r="H86" i="66"/>
  <c r="H89" i="66" s="1"/>
  <c r="G92" i="66" s="1"/>
  <c r="I70" i="66"/>
  <c r="I73" i="66" s="1"/>
  <c r="G76" i="66" s="1"/>
  <c r="I146" i="66"/>
  <c r="I148" i="66" s="1"/>
  <c r="G152" i="66" s="1"/>
  <c r="K87" i="66"/>
  <c r="K72" i="66"/>
  <c r="K73" i="66" s="1"/>
  <c r="I55" i="66"/>
  <c r="I58" i="66" s="1"/>
  <c r="G62" i="66" s="1"/>
  <c r="K41" i="66"/>
  <c r="K42" i="66" s="1"/>
  <c r="G48" i="66" s="1"/>
  <c r="K101" i="66"/>
  <c r="J56" i="66"/>
  <c r="J58" i="66" s="1"/>
  <c r="G63" i="66" s="1"/>
  <c r="H73" i="66"/>
  <c r="G75" i="66" s="1"/>
  <c r="G79" i="66" s="1"/>
  <c r="G118" i="66"/>
  <c r="G121" i="66" s="1"/>
  <c r="G125" i="66" s="1"/>
  <c r="L57" i="66"/>
  <c r="G103" i="66"/>
  <c r="G106" i="66" s="1"/>
  <c r="H42" i="66"/>
  <c r="G45" i="66" s="1"/>
  <c r="H54" i="66"/>
  <c r="H58" i="66" s="1"/>
  <c r="G61" i="66" s="1"/>
  <c r="G58" i="66"/>
  <c r="G60" i="66" s="1"/>
  <c r="G11" i="66" l="1"/>
  <c r="L40" i="66"/>
  <c r="L54" i="66"/>
  <c r="K86" i="66"/>
  <c r="K89" i="66" s="1"/>
  <c r="L56" i="66"/>
  <c r="K102" i="66"/>
  <c r="K103" i="66" s="1"/>
  <c r="L58" i="66"/>
  <c r="G95" i="66"/>
  <c r="G154" i="66"/>
  <c r="G110" i="66"/>
  <c r="G49" i="66"/>
  <c r="G65" i="66"/>
  <c r="L41" i="66"/>
  <c r="L72" i="66"/>
  <c r="L55" i="66"/>
  <c r="L70" i="66"/>
  <c r="G12" i="66" l="1"/>
  <c r="G10" i="66"/>
  <c r="L42" i="66"/>
  <c r="G9" i="66"/>
  <c r="G13" i="66"/>
  <c r="L73" i="66"/>
  <c r="G17" i="66"/>
  <c r="G20" i="66" s="1"/>
  <c r="G22" i="66" s="1"/>
  <c r="G6" i="57" l="1"/>
  <c r="H23" i="3"/>
  <c r="H26" i="62"/>
  <c r="C32" i="62"/>
  <c r="AM84" i="63"/>
  <c r="AN84" i="63"/>
  <c r="AL84" i="63"/>
  <c r="AM82" i="63"/>
  <c r="AN82" i="63"/>
  <c r="AO82" i="63"/>
  <c r="AO84" i="63" s="1"/>
  <c r="H27" i="62" s="1"/>
  <c r="H28" i="62" s="1"/>
  <c r="AL82" i="63"/>
  <c r="AL78" i="63"/>
  <c r="AM78" i="63"/>
  <c r="AN78" i="63"/>
  <c r="AL79" i="63"/>
  <c r="AM79" i="63"/>
  <c r="AN79" i="63"/>
  <c r="AL80" i="63"/>
  <c r="AM80" i="63"/>
  <c r="AN80" i="63"/>
  <c r="AM77" i="63"/>
  <c r="AL77" i="63"/>
  <c r="AN77" i="63" s="1"/>
  <c r="AO73" i="63"/>
  <c r="AN73" i="63"/>
  <c r="AM73" i="63"/>
  <c r="AL73" i="63"/>
  <c r="AL16" i="63"/>
  <c r="AM16" i="63"/>
  <c r="AN16" i="63"/>
  <c r="AL17" i="63"/>
  <c r="AM17" i="63"/>
  <c r="AN17" i="63"/>
  <c r="AL18" i="63"/>
  <c r="AM18" i="63"/>
  <c r="AN18" i="63"/>
  <c r="AL19" i="63"/>
  <c r="AM19" i="63"/>
  <c r="AN19" i="63"/>
  <c r="AL20" i="63"/>
  <c r="AM20" i="63"/>
  <c r="AN20" i="63"/>
  <c r="AL21" i="63"/>
  <c r="AM21" i="63"/>
  <c r="AN21" i="63"/>
  <c r="AL22" i="63"/>
  <c r="AM22" i="63"/>
  <c r="AN22" i="63"/>
  <c r="AL23" i="63"/>
  <c r="AM23" i="63"/>
  <c r="AN23" i="63"/>
  <c r="AL24" i="63"/>
  <c r="AM24" i="63"/>
  <c r="AN24" i="63"/>
  <c r="AL25" i="63"/>
  <c r="AM25" i="63"/>
  <c r="AN25" i="63"/>
  <c r="AL26" i="63"/>
  <c r="AM26" i="63"/>
  <c r="AN26" i="63"/>
  <c r="AL27" i="63"/>
  <c r="AM27" i="63"/>
  <c r="AN27" i="63"/>
  <c r="AL28" i="63"/>
  <c r="AM28" i="63"/>
  <c r="AN28" i="63"/>
  <c r="AL29" i="63"/>
  <c r="AM29" i="63"/>
  <c r="AN29" i="63"/>
  <c r="AL30" i="63"/>
  <c r="AM30" i="63"/>
  <c r="AN30" i="63"/>
  <c r="AL31" i="63"/>
  <c r="AM31" i="63"/>
  <c r="AN31" i="63"/>
  <c r="AL32" i="63"/>
  <c r="AM32" i="63"/>
  <c r="AN32" i="63"/>
  <c r="AL33" i="63"/>
  <c r="AM33" i="63"/>
  <c r="AN33" i="63"/>
  <c r="AL34" i="63"/>
  <c r="AM34" i="63"/>
  <c r="AN34" i="63"/>
  <c r="AL35" i="63"/>
  <c r="AM35" i="63"/>
  <c r="AN35" i="63"/>
  <c r="AL36" i="63"/>
  <c r="AM36" i="63"/>
  <c r="AN36" i="63"/>
  <c r="AL37" i="63"/>
  <c r="AM37" i="63"/>
  <c r="AN37" i="63"/>
  <c r="AL38" i="63"/>
  <c r="AM38" i="63"/>
  <c r="AN38" i="63"/>
  <c r="AL39" i="63"/>
  <c r="AM39" i="63"/>
  <c r="AN39" i="63"/>
  <c r="AL40" i="63"/>
  <c r="AM40" i="63"/>
  <c r="AN40" i="63"/>
  <c r="AL41" i="63"/>
  <c r="AM41" i="63"/>
  <c r="AN41" i="63"/>
  <c r="AL42" i="63"/>
  <c r="AM42" i="63"/>
  <c r="AN42" i="63"/>
  <c r="AL43" i="63"/>
  <c r="AM43" i="63"/>
  <c r="AN43" i="63"/>
  <c r="AL44" i="63"/>
  <c r="AM44" i="63"/>
  <c r="AN44" i="63"/>
  <c r="AL45" i="63"/>
  <c r="AM45" i="63"/>
  <c r="AN45" i="63"/>
  <c r="AL46" i="63"/>
  <c r="AM46" i="63"/>
  <c r="AN46" i="63"/>
  <c r="AL47" i="63"/>
  <c r="AM47" i="63"/>
  <c r="AN47" i="63"/>
  <c r="AL48" i="63"/>
  <c r="AM48" i="63"/>
  <c r="AN48" i="63"/>
  <c r="AL49" i="63"/>
  <c r="AM49" i="63"/>
  <c r="AN49" i="63"/>
  <c r="AL50" i="63"/>
  <c r="AM50" i="63"/>
  <c r="AN50" i="63"/>
  <c r="AL51" i="63"/>
  <c r="AM51" i="63"/>
  <c r="AN51" i="63"/>
  <c r="AL52" i="63"/>
  <c r="AM52" i="63"/>
  <c r="AN52" i="63"/>
  <c r="AL53" i="63"/>
  <c r="AM53" i="63"/>
  <c r="AN53" i="63"/>
  <c r="AL54" i="63"/>
  <c r="AM54" i="63"/>
  <c r="AN54" i="63"/>
  <c r="AL55" i="63"/>
  <c r="AM55" i="63"/>
  <c r="AN55" i="63"/>
  <c r="AL56" i="63"/>
  <c r="AM56" i="63"/>
  <c r="AN56" i="63"/>
  <c r="AL57" i="63"/>
  <c r="AM57" i="63"/>
  <c r="AN57" i="63"/>
  <c r="AL58" i="63"/>
  <c r="AM58" i="63"/>
  <c r="AN58" i="63"/>
  <c r="AL59" i="63"/>
  <c r="AM59" i="63"/>
  <c r="AN59" i="63"/>
  <c r="AL60" i="63"/>
  <c r="AM60" i="63"/>
  <c r="AN60" i="63"/>
  <c r="AL61" i="63"/>
  <c r="AM61" i="63"/>
  <c r="AN61" i="63"/>
  <c r="AL62" i="63"/>
  <c r="AM62" i="63"/>
  <c r="AN62" i="63"/>
  <c r="AL63" i="63"/>
  <c r="AM63" i="63"/>
  <c r="AN63" i="63"/>
  <c r="AL64" i="63"/>
  <c r="AM64" i="63"/>
  <c r="AN64" i="63"/>
  <c r="AL65" i="63"/>
  <c r="AM65" i="63"/>
  <c r="AN65" i="63"/>
  <c r="AL66" i="63"/>
  <c r="AM66" i="63"/>
  <c r="AN66" i="63"/>
  <c r="AL67" i="63"/>
  <c r="AM67" i="63"/>
  <c r="AN67" i="63"/>
  <c r="AL68" i="63"/>
  <c r="AM68" i="63"/>
  <c r="AN68" i="63"/>
  <c r="AL69" i="63"/>
  <c r="AM69" i="63"/>
  <c r="AN69" i="63"/>
  <c r="AL70" i="63"/>
  <c r="AM70" i="63"/>
  <c r="AN70" i="63"/>
  <c r="AL71" i="63"/>
  <c r="AM71" i="63"/>
  <c r="AN71" i="63"/>
  <c r="AL8" i="63"/>
  <c r="AN8" i="63" s="1"/>
  <c r="AM8" i="63"/>
  <c r="AL9" i="63"/>
  <c r="AM9" i="63"/>
  <c r="AN9" i="63"/>
  <c r="AL10" i="63"/>
  <c r="AM10" i="63"/>
  <c r="AN10" i="63" s="1"/>
  <c r="AL11" i="63"/>
  <c r="AM11" i="63"/>
  <c r="AN11" i="63"/>
  <c r="AL12" i="63"/>
  <c r="AM12" i="63"/>
  <c r="AN12" i="63" s="1"/>
  <c r="AL13" i="63"/>
  <c r="AM13" i="63"/>
  <c r="AN13" i="63"/>
  <c r="AL14" i="63"/>
  <c r="AM14" i="63"/>
  <c r="AN14" i="63"/>
  <c r="AL15" i="63"/>
  <c r="AM15" i="63"/>
  <c r="AN15" i="63"/>
  <c r="AM7" i="63"/>
  <c r="AL7" i="63"/>
  <c r="AN7" i="63" s="1"/>
  <c r="P21" i="63"/>
  <c r="N21" i="63"/>
  <c r="P35" i="63" l="1"/>
  <c r="I85" i="63" s="1"/>
  <c r="N35" i="63"/>
  <c r="G85" i="63" s="1"/>
  <c r="P32" i="63"/>
  <c r="I84" i="63" s="1"/>
  <c r="N32" i="63"/>
  <c r="G84" i="63" s="1"/>
  <c r="Y115" i="63"/>
  <c r="X115" i="63"/>
  <c r="V115" i="63"/>
  <c r="R115" i="63"/>
  <c r="O115" i="63"/>
  <c r="S115" i="63" s="1"/>
  <c r="I115" i="63"/>
  <c r="G115" i="63"/>
  <c r="Y114" i="63"/>
  <c r="X114" i="63"/>
  <c r="V114" i="63"/>
  <c r="Z114" i="63" s="1"/>
  <c r="R114" i="63"/>
  <c r="Q114" i="63"/>
  <c r="O114" i="63"/>
  <c r="S114" i="63" s="1"/>
  <c r="I114" i="63"/>
  <c r="AD114" i="63" s="1"/>
  <c r="G114" i="63"/>
  <c r="H114" i="63" s="1"/>
  <c r="AB113" i="63"/>
  <c r="Y113" i="63"/>
  <c r="X113" i="63"/>
  <c r="V113" i="63"/>
  <c r="Z113" i="63" s="1"/>
  <c r="R113" i="63"/>
  <c r="Q113" i="63"/>
  <c r="O113" i="63"/>
  <c r="S113" i="63" s="1"/>
  <c r="I113" i="63"/>
  <c r="AD113" i="63" s="1"/>
  <c r="G113" i="63"/>
  <c r="H113" i="63" s="1"/>
  <c r="AD110" i="63"/>
  <c r="AB110" i="63"/>
  <c r="Y110" i="63"/>
  <c r="X110" i="63"/>
  <c r="V110" i="63"/>
  <c r="R110" i="63"/>
  <c r="Q110" i="63"/>
  <c r="O110" i="63"/>
  <c r="K110" i="63"/>
  <c r="J110" i="63"/>
  <c r="H110" i="63"/>
  <c r="AD109" i="63"/>
  <c r="AB109" i="63"/>
  <c r="Y109" i="63"/>
  <c r="X109" i="63"/>
  <c r="V109" i="63"/>
  <c r="R109" i="63"/>
  <c r="Q109" i="63"/>
  <c r="O109" i="63"/>
  <c r="S109" i="63" s="1"/>
  <c r="K109" i="63"/>
  <c r="J109" i="63"/>
  <c r="H109" i="63"/>
  <c r="AD108" i="63"/>
  <c r="AB108" i="63"/>
  <c r="Y108" i="63"/>
  <c r="X108" i="63"/>
  <c r="V108" i="63"/>
  <c r="R108" i="63"/>
  <c r="Q108" i="63"/>
  <c r="O108" i="63"/>
  <c r="K108" i="63"/>
  <c r="J108" i="63"/>
  <c r="H108" i="63"/>
  <c r="AD103" i="63"/>
  <c r="AB103" i="63"/>
  <c r="Y103" i="63"/>
  <c r="X103" i="63"/>
  <c r="V103" i="63"/>
  <c r="Z103" i="63" s="1"/>
  <c r="R103" i="63"/>
  <c r="Q103" i="63"/>
  <c r="O103" i="63"/>
  <c r="K103" i="63"/>
  <c r="J103" i="63"/>
  <c r="H103" i="63"/>
  <c r="L103" i="63" s="1"/>
  <c r="AE102" i="63"/>
  <c r="AD102" i="63"/>
  <c r="AC102" i="63"/>
  <c r="AB102" i="63"/>
  <c r="Z102" i="63"/>
  <c r="Y102" i="63"/>
  <c r="S102" i="63"/>
  <c r="R102" i="63"/>
  <c r="L102" i="63"/>
  <c r="K102" i="63"/>
  <c r="AE101" i="63"/>
  <c r="AD101" i="63"/>
  <c r="AC101" i="63"/>
  <c r="AB101" i="63"/>
  <c r="Z101" i="63"/>
  <c r="Y101" i="63"/>
  <c r="S101" i="63"/>
  <c r="R101" i="63"/>
  <c r="L101" i="63"/>
  <c r="K101" i="63"/>
  <c r="AF101" i="63" s="1"/>
  <c r="AE100" i="63"/>
  <c r="AD100" i="63"/>
  <c r="AC100" i="63"/>
  <c r="AB100" i="63"/>
  <c r="Z100" i="63"/>
  <c r="Y100" i="63"/>
  <c r="S100" i="63"/>
  <c r="R100" i="63"/>
  <c r="L100" i="63"/>
  <c r="K100" i="63"/>
  <c r="AE99" i="63"/>
  <c r="AD99" i="63"/>
  <c r="AC99" i="63"/>
  <c r="AB99" i="63"/>
  <c r="Z99" i="63"/>
  <c r="Y99" i="63"/>
  <c r="S99" i="63"/>
  <c r="R99" i="63"/>
  <c r="L99" i="63"/>
  <c r="K99" i="63"/>
  <c r="AE98" i="63"/>
  <c r="AD98" i="63"/>
  <c r="AC98" i="63"/>
  <c r="AB98" i="63"/>
  <c r="Z98" i="63"/>
  <c r="Y98" i="63"/>
  <c r="S98" i="63"/>
  <c r="R98" i="63"/>
  <c r="L98" i="63"/>
  <c r="K98" i="63"/>
  <c r="AE97" i="63"/>
  <c r="AD97" i="63"/>
  <c r="AC97" i="63"/>
  <c r="AB97" i="63"/>
  <c r="Z97" i="63"/>
  <c r="Y97" i="63"/>
  <c r="S97" i="63"/>
  <c r="R97" i="63"/>
  <c r="L97" i="63"/>
  <c r="K97" i="63"/>
  <c r="I83" i="63"/>
  <c r="G83" i="63"/>
  <c r="J81" i="63"/>
  <c r="I81" i="63"/>
  <c r="H81" i="63"/>
  <c r="AI80" i="63"/>
  <c r="L80" i="63"/>
  <c r="G80" i="63"/>
  <c r="K80" i="63" s="1"/>
  <c r="L79" i="63"/>
  <c r="G79" i="63"/>
  <c r="K79" i="63" s="1"/>
  <c r="L78" i="63"/>
  <c r="G78" i="63"/>
  <c r="K78" i="63" s="1"/>
  <c r="L77" i="63"/>
  <c r="G77" i="63"/>
  <c r="K77" i="63" s="1"/>
  <c r="W73" i="63"/>
  <c r="U73" i="63"/>
  <c r="P73" i="63"/>
  <c r="N73" i="63"/>
  <c r="AE72" i="63"/>
  <c r="AD72" i="63"/>
  <c r="AC72" i="63"/>
  <c r="AB72" i="63"/>
  <c r="Z72" i="63"/>
  <c r="Y72" i="63"/>
  <c r="S72" i="63"/>
  <c r="R72" i="63"/>
  <c r="L72" i="63"/>
  <c r="AI71" i="63"/>
  <c r="AD71" i="63"/>
  <c r="AB71" i="63"/>
  <c r="Y71" i="63"/>
  <c r="X71" i="63"/>
  <c r="V71" i="63"/>
  <c r="R71" i="63"/>
  <c r="Q71" i="63"/>
  <c r="O71" i="63"/>
  <c r="K71" i="63"/>
  <c r="J71" i="63"/>
  <c r="H71" i="63"/>
  <c r="AI70" i="63"/>
  <c r="AD70" i="63"/>
  <c r="AB70" i="63"/>
  <c r="Y70" i="63"/>
  <c r="X70" i="63"/>
  <c r="V70" i="63"/>
  <c r="R70" i="63"/>
  <c r="Q70" i="63"/>
  <c r="O70" i="63"/>
  <c r="K70" i="63"/>
  <c r="J70" i="63"/>
  <c r="H70" i="63"/>
  <c r="AI69" i="63"/>
  <c r="AD69" i="63"/>
  <c r="AB69" i="63"/>
  <c r="Y69" i="63"/>
  <c r="X69" i="63"/>
  <c r="V69" i="63"/>
  <c r="R69" i="63"/>
  <c r="Q69" i="63"/>
  <c r="O69" i="63"/>
  <c r="K69" i="63"/>
  <c r="J69" i="63"/>
  <c r="H69" i="63"/>
  <c r="AI68" i="63"/>
  <c r="AD68" i="63"/>
  <c r="AB68" i="63"/>
  <c r="Y68" i="63"/>
  <c r="X68" i="63"/>
  <c r="V68" i="63"/>
  <c r="R68" i="63"/>
  <c r="Q68" i="63"/>
  <c r="O68" i="63"/>
  <c r="K68" i="63"/>
  <c r="J68" i="63"/>
  <c r="H68" i="63"/>
  <c r="AI67" i="63"/>
  <c r="AD67" i="63"/>
  <c r="AB67" i="63"/>
  <c r="Y67" i="63"/>
  <c r="X67" i="63"/>
  <c r="V67" i="63"/>
  <c r="R67" i="63"/>
  <c r="Q67" i="63"/>
  <c r="O67" i="63"/>
  <c r="K67" i="63"/>
  <c r="J67" i="63"/>
  <c r="H67" i="63"/>
  <c r="AI66" i="63"/>
  <c r="AD66" i="63"/>
  <c r="AB66" i="63"/>
  <c r="Y66" i="63"/>
  <c r="X66" i="63"/>
  <c r="V66" i="63"/>
  <c r="R66" i="63"/>
  <c r="Q66" i="63"/>
  <c r="O66" i="63"/>
  <c r="K66" i="63"/>
  <c r="J66" i="63"/>
  <c r="H66" i="63"/>
  <c r="AI65" i="63"/>
  <c r="AD65" i="63"/>
  <c r="AB65" i="63"/>
  <c r="Y65" i="63"/>
  <c r="X65" i="63"/>
  <c r="V65" i="63"/>
  <c r="R65" i="63"/>
  <c r="Q65" i="63"/>
  <c r="O65" i="63"/>
  <c r="K65" i="63"/>
  <c r="J65" i="63"/>
  <c r="H65" i="63"/>
  <c r="AI64" i="63"/>
  <c r="AD64" i="63"/>
  <c r="AB64" i="63"/>
  <c r="Y64" i="63"/>
  <c r="X64" i="63"/>
  <c r="V64" i="63"/>
  <c r="R64" i="63"/>
  <c r="Q64" i="63"/>
  <c r="O64" i="63"/>
  <c r="K64" i="63"/>
  <c r="J64" i="63"/>
  <c r="H64" i="63"/>
  <c r="AI63" i="63"/>
  <c r="AD63" i="63"/>
  <c r="AB63" i="63"/>
  <c r="Y63" i="63"/>
  <c r="X63" i="63"/>
  <c r="V63" i="63"/>
  <c r="R63" i="63"/>
  <c r="Q63" i="63"/>
  <c r="O63" i="63"/>
  <c r="K63" i="63"/>
  <c r="J63" i="63"/>
  <c r="H63" i="63"/>
  <c r="AI62" i="63"/>
  <c r="AD62" i="63"/>
  <c r="AB62" i="63"/>
  <c r="Y62" i="63"/>
  <c r="X62" i="63"/>
  <c r="V62" i="63"/>
  <c r="R62" i="63"/>
  <c r="Q62" i="63"/>
  <c r="O62" i="63"/>
  <c r="K62" i="63"/>
  <c r="J62" i="63"/>
  <c r="H62" i="63"/>
  <c r="AI61" i="63"/>
  <c r="AD61" i="63"/>
  <c r="AB61" i="63"/>
  <c r="Y61" i="63"/>
  <c r="X61" i="63"/>
  <c r="V61" i="63"/>
  <c r="R61" i="63"/>
  <c r="Q61" i="63"/>
  <c r="O61" i="63"/>
  <c r="K61" i="63"/>
  <c r="J61" i="63"/>
  <c r="H61" i="63"/>
  <c r="AI60" i="63"/>
  <c r="AD60" i="63"/>
  <c r="AB60" i="63"/>
  <c r="Y60" i="63"/>
  <c r="X60" i="63"/>
  <c r="V60" i="63"/>
  <c r="R60" i="63"/>
  <c r="Q60" i="63"/>
  <c r="O60" i="63"/>
  <c r="K60" i="63"/>
  <c r="J60" i="63"/>
  <c r="H60" i="63"/>
  <c r="AI59" i="63"/>
  <c r="AD59" i="63"/>
  <c r="AB59" i="63"/>
  <c r="Y59" i="63"/>
  <c r="X59" i="63"/>
  <c r="V59" i="63"/>
  <c r="R59" i="63"/>
  <c r="Q59" i="63"/>
  <c r="O59" i="63"/>
  <c r="K59" i="63"/>
  <c r="J59" i="63"/>
  <c r="H59" i="63"/>
  <c r="AI58" i="63"/>
  <c r="AD58" i="63"/>
  <c r="AB58" i="63"/>
  <c r="Y58" i="63"/>
  <c r="X58" i="63"/>
  <c r="V58" i="63"/>
  <c r="R58" i="63"/>
  <c r="Q58" i="63"/>
  <c r="O58" i="63"/>
  <c r="K58" i="63"/>
  <c r="J58" i="63"/>
  <c r="H58" i="63"/>
  <c r="AI57" i="63"/>
  <c r="AD57" i="63"/>
  <c r="AB57" i="63"/>
  <c r="Y57" i="63"/>
  <c r="X57" i="63"/>
  <c r="V57" i="63"/>
  <c r="R57" i="63"/>
  <c r="Q57" i="63"/>
  <c r="O57" i="63"/>
  <c r="K57" i="63"/>
  <c r="J57" i="63"/>
  <c r="H57" i="63"/>
  <c r="AI56" i="63"/>
  <c r="AD56" i="63"/>
  <c r="AB56" i="63"/>
  <c r="Y56" i="63"/>
  <c r="X56" i="63"/>
  <c r="V56" i="63"/>
  <c r="R56" i="63"/>
  <c r="Q56" i="63"/>
  <c r="O56" i="63"/>
  <c r="K56" i="63"/>
  <c r="J56" i="63"/>
  <c r="H56" i="63"/>
  <c r="AI55" i="63"/>
  <c r="AD55" i="63"/>
  <c r="AB55" i="63"/>
  <c r="Y55" i="63"/>
  <c r="X55" i="63"/>
  <c r="V55" i="63"/>
  <c r="R55" i="63"/>
  <c r="Q55" i="63"/>
  <c r="S55" i="63" s="1"/>
  <c r="O55" i="63"/>
  <c r="K55" i="63"/>
  <c r="J55" i="63"/>
  <c r="H55" i="63"/>
  <c r="AI54" i="63"/>
  <c r="AD54" i="63"/>
  <c r="AB54" i="63"/>
  <c r="Y54" i="63"/>
  <c r="X54" i="63"/>
  <c r="V54" i="63"/>
  <c r="R54" i="63"/>
  <c r="Q54" i="63"/>
  <c r="O54" i="63"/>
  <c r="K54" i="63"/>
  <c r="J54" i="63"/>
  <c r="H54" i="63"/>
  <c r="AI53" i="63"/>
  <c r="AD53" i="63"/>
  <c r="AB53" i="63"/>
  <c r="Y53" i="63"/>
  <c r="X53" i="63"/>
  <c r="V53" i="63"/>
  <c r="R53" i="63"/>
  <c r="Q53" i="63"/>
  <c r="O53" i="63"/>
  <c r="K53" i="63"/>
  <c r="J53" i="63"/>
  <c r="H53" i="63"/>
  <c r="AI52" i="63"/>
  <c r="AD52" i="63"/>
  <c r="AB52" i="63"/>
  <c r="Y52" i="63"/>
  <c r="X52" i="63"/>
  <c r="V52" i="63"/>
  <c r="R52" i="63"/>
  <c r="Q52" i="63"/>
  <c r="O52" i="63"/>
  <c r="K52" i="63"/>
  <c r="J52" i="63"/>
  <c r="H52" i="63"/>
  <c r="AI51" i="63"/>
  <c r="AD51" i="63"/>
  <c r="AB51" i="63"/>
  <c r="Y51" i="63"/>
  <c r="X51" i="63"/>
  <c r="Z51" i="63" s="1"/>
  <c r="V51" i="63"/>
  <c r="R51" i="63"/>
  <c r="Q51" i="63"/>
  <c r="O51" i="63"/>
  <c r="K51" i="63"/>
  <c r="J51" i="63"/>
  <c r="H51" i="63"/>
  <c r="AI50" i="63"/>
  <c r="AD50" i="63"/>
  <c r="AB50" i="63"/>
  <c r="Y50" i="63"/>
  <c r="X50" i="63"/>
  <c r="V50" i="63"/>
  <c r="R50" i="63"/>
  <c r="Q50" i="63"/>
  <c r="O50" i="63"/>
  <c r="K50" i="63"/>
  <c r="J50" i="63"/>
  <c r="H50" i="63"/>
  <c r="AI49" i="63"/>
  <c r="AD49" i="63"/>
  <c r="AB49" i="63"/>
  <c r="Y49" i="63"/>
  <c r="X49" i="63"/>
  <c r="V49" i="63"/>
  <c r="R49" i="63"/>
  <c r="Q49" i="63"/>
  <c r="O49" i="63"/>
  <c r="K49" i="63"/>
  <c r="J49" i="63"/>
  <c r="L49" i="63" s="1"/>
  <c r="H49" i="63"/>
  <c r="AI48" i="63"/>
  <c r="AD48" i="63"/>
  <c r="AB48" i="63"/>
  <c r="Y48" i="63"/>
  <c r="X48" i="63"/>
  <c r="V48" i="63"/>
  <c r="R48" i="63"/>
  <c r="Q48" i="63"/>
  <c r="O48" i="63"/>
  <c r="K48" i="63"/>
  <c r="J48" i="63"/>
  <c r="H48" i="63"/>
  <c r="AI47" i="63"/>
  <c r="AD47" i="63"/>
  <c r="AB47" i="63"/>
  <c r="Y47" i="63"/>
  <c r="X47" i="63"/>
  <c r="V47" i="63"/>
  <c r="R47" i="63"/>
  <c r="Q47" i="63"/>
  <c r="O47" i="63"/>
  <c r="K47" i="63"/>
  <c r="J47" i="63"/>
  <c r="H47" i="63"/>
  <c r="AI46" i="63"/>
  <c r="AD46" i="63"/>
  <c r="AB46" i="63"/>
  <c r="Y46" i="63"/>
  <c r="X46" i="63"/>
  <c r="V46" i="63"/>
  <c r="R46" i="63"/>
  <c r="Q46" i="63"/>
  <c r="O46" i="63"/>
  <c r="K46" i="63"/>
  <c r="J46" i="63"/>
  <c r="H46" i="63"/>
  <c r="AI45" i="63"/>
  <c r="AD45" i="63"/>
  <c r="AB45" i="63"/>
  <c r="Y45" i="63"/>
  <c r="X45" i="63"/>
  <c r="V45" i="63"/>
  <c r="S45" i="63"/>
  <c r="R45" i="63"/>
  <c r="Q45" i="63"/>
  <c r="O45" i="63"/>
  <c r="K45" i="63"/>
  <c r="J45" i="63"/>
  <c r="H45" i="63"/>
  <c r="AI44" i="63"/>
  <c r="AD44" i="63"/>
  <c r="AB44" i="63"/>
  <c r="Y44" i="63"/>
  <c r="X44" i="63"/>
  <c r="V44" i="63"/>
  <c r="R44" i="63"/>
  <c r="Q44" i="63"/>
  <c r="O44" i="63"/>
  <c r="K44" i="63"/>
  <c r="J44" i="63"/>
  <c r="H44" i="63"/>
  <c r="AI43" i="63"/>
  <c r="AD43" i="63"/>
  <c r="AB43" i="63"/>
  <c r="Y43" i="63"/>
  <c r="X43" i="63"/>
  <c r="V43" i="63"/>
  <c r="Z43" i="63" s="1"/>
  <c r="R43" i="63"/>
  <c r="Q43" i="63"/>
  <c r="S43" i="63" s="1"/>
  <c r="O43" i="63"/>
  <c r="K43" i="63"/>
  <c r="J43" i="63"/>
  <c r="H43" i="63"/>
  <c r="AI42" i="63"/>
  <c r="AD42" i="63"/>
  <c r="AB42" i="63"/>
  <c r="Y42" i="63"/>
  <c r="X42" i="63"/>
  <c r="V42" i="63"/>
  <c r="R42" i="63"/>
  <c r="Q42" i="63"/>
  <c r="O42" i="63"/>
  <c r="K42" i="63"/>
  <c r="J42" i="63"/>
  <c r="H42" i="63"/>
  <c r="AI41" i="63"/>
  <c r="AD41" i="63"/>
  <c r="AB41" i="63"/>
  <c r="Y41" i="63"/>
  <c r="X41" i="63"/>
  <c r="V41" i="63"/>
  <c r="Z41" i="63" s="1"/>
  <c r="R41" i="63"/>
  <c r="Q41" i="63"/>
  <c r="O41" i="63"/>
  <c r="K41" i="63"/>
  <c r="J41" i="63"/>
  <c r="H41" i="63"/>
  <c r="AI40" i="63"/>
  <c r="AD40" i="63"/>
  <c r="AB40" i="63"/>
  <c r="Y40" i="63"/>
  <c r="X40" i="63"/>
  <c r="V40" i="63"/>
  <c r="Z40" i="63" s="1"/>
  <c r="R40" i="63"/>
  <c r="Q40" i="63"/>
  <c r="O40" i="63"/>
  <c r="K40" i="63"/>
  <c r="J40" i="63"/>
  <c r="H40" i="63"/>
  <c r="AI39" i="63"/>
  <c r="AD39" i="63"/>
  <c r="AB39" i="63"/>
  <c r="Y39" i="63"/>
  <c r="X39" i="63"/>
  <c r="V39" i="63"/>
  <c r="R39" i="63"/>
  <c r="Q39" i="63"/>
  <c r="O39" i="63"/>
  <c r="K39" i="63"/>
  <c r="J39" i="63"/>
  <c r="H39" i="63"/>
  <c r="L39" i="63" s="1"/>
  <c r="AI38" i="63"/>
  <c r="AD38" i="63"/>
  <c r="AB38" i="63"/>
  <c r="Y38" i="63"/>
  <c r="X38" i="63"/>
  <c r="V38" i="63"/>
  <c r="R38" i="63"/>
  <c r="Q38" i="63"/>
  <c r="S38" i="63" s="1"/>
  <c r="O38" i="63"/>
  <c r="K38" i="63"/>
  <c r="J38" i="63"/>
  <c r="H38" i="63"/>
  <c r="AI37" i="63"/>
  <c r="AD37" i="63"/>
  <c r="AB37" i="63"/>
  <c r="Y37" i="63"/>
  <c r="X37" i="63"/>
  <c r="V37" i="63"/>
  <c r="S37" i="63"/>
  <c r="R37" i="63"/>
  <c r="Q37" i="63"/>
  <c r="O37" i="63"/>
  <c r="K37" i="63"/>
  <c r="J37" i="63"/>
  <c r="H37" i="63"/>
  <c r="AI36" i="63"/>
  <c r="AD36" i="63"/>
  <c r="AB36" i="63"/>
  <c r="Y36" i="63"/>
  <c r="X36" i="63"/>
  <c r="V36" i="63"/>
  <c r="R36" i="63"/>
  <c r="Q36" i="63"/>
  <c r="O36" i="63"/>
  <c r="K36" i="63"/>
  <c r="J36" i="63"/>
  <c r="H36" i="63"/>
  <c r="AI35" i="63"/>
  <c r="Y35" i="63"/>
  <c r="X35" i="63"/>
  <c r="V35" i="63"/>
  <c r="R35" i="63"/>
  <c r="K85" i="63" s="1"/>
  <c r="Q35" i="63"/>
  <c r="J85" i="63" s="1"/>
  <c r="O35" i="63"/>
  <c r="H85" i="63" s="1"/>
  <c r="AI34" i="63"/>
  <c r="AD34" i="63"/>
  <c r="AB34" i="63"/>
  <c r="Y34" i="63"/>
  <c r="X34" i="63"/>
  <c r="V34" i="63"/>
  <c r="R34" i="63"/>
  <c r="Q34" i="63"/>
  <c r="O34" i="63"/>
  <c r="K34" i="63"/>
  <c r="J34" i="63"/>
  <c r="H34" i="63"/>
  <c r="AI33" i="63"/>
  <c r="AD33" i="63"/>
  <c r="AB33" i="63"/>
  <c r="Y33" i="63"/>
  <c r="X33" i="63"/>
  <c r="V33" i="63"/>
  <c r="R33" i="63"/>
  <c r="Q33" i="63"/>
  <c r="O33" i="63"/>
  <c r="K33" i="63"/>
  <c r="J33" i="63"/>
  <c r="H33" i="63"/>
  <c r="AI32" i="63"/>
  <c r="AD32" i="63"/>
  <c r="Y32" i="63"/>
  <c r="X32" i="63"/>
  <c r="V32" i="63"/>
  <c r="R32" i="63"/>
  <c r="K84" i="63" s="1"/>
  <c r="Q32" i="63"/>
  <c r="J84" i="63" s="1"/>
  <c r="O32" i="63"/>
  <c r="J32" i="63"/>
  <c r="AI31" i="63"/>
  <c r="AD31" i="63"/>
  <c r="AB31" i="63"/>
  <c r="Y31" i="63"/>
  <c r="X31" i="63"/>
  <c r="V31" i="63"/>
  <c r="R31" i="63"/>
  <c r="Q31" i="63"/>
  <c r="O31" i="63"/>
  <c r="K31" i="63"/>
  <c r="J31" i="63"/>
  <c r="H31" i="63"/>
  <c r="AI30" i="63"/>
  <c r="AD30" i="63"/>
  <c r="AB30" i="63"/>
  <c r="Y30" i="63"/>
  <c r="X30" i="63"/>
  <c r="V30" i="63"/>
  <c r="R30" i="63"/>
  <c r="Q30" i="63"/>
  <c r="O30" i="63"/>
  <c r="K30" i="63"/>
  <c r="J30" i="63"/>
  <c r="H30" i="63"/>
  <c r="AI29" i="63"/>
  <c r="AD29" i="63"/>
  <c r="AB29" i="63"/>
  <c r="Y29" i="63"/>
  <c r="X29" i="63"/>
  <c r="V29" i="63"/>
  <c r="R29" i="63"/>
  <c r="Q29" i="63"/>
  <c r="O29" i="63"/>
  <c r="K29" i="63"/>
  <c r="J29" i="63"/>
  <c r="AE29" i="63" s="1"/>
  <c r="H29" i="63"/>
  <c r="AI28" i="63"/>
  <c r="AD28" i="63"/>
  <c r="AB28" i="63"/>
  <c r="Y28" i="63"/>
  <c r="X28" i="63"/>
  <c r="V28" i="63"/>
  <c r="R28" i="63"/>
  <c r="Q28" i="63"/>
  <c r="O28" i="63"/>
  <c r="K28" i="63"/>
  <c r="J28" i="63"/>
  <c r="H28" i="63"/>
  <c r="AI27" i="63"/>
  <c r="AD27" i="63"/>
  <c r="AB27" i="63"/>
  <c r="Y27" i="63"/>
  <c r="X27" i="63"/>
  <c r="Z27" i="63" s="1"/>
  <c r="V27" i="63"/>
  <c r="R27" i="63"/>
  <c r="Q27" i="63"/>
  <c r="O27" i="63"/>
  <c r="S27" i="63" s="1"/>
  <c r="K27" i="63"/>
  <c r="J27" i="63"/>
  <c r="H27" i="63"/>
  <c r="AI26" i="63"/>
  <c r="AD26" i="63"/>
  <c r="AB26" i="63"/>
  <c r="Y26" i="63"/>
  <c r="X26" i="63"/>
  <c r="Z26" i="63" s="1"/>
  <c r="V26" i="63"/>
  <c r="R26" i="63"/>
  <c r="Q26" i="63"/>
  <c r="O26" i="63"/>
  <c r="S26" i="63" s="1"/>
  <c r="K26" i="63"/>
  <c r="J26" i="63"/>
  <c r="AE26" i="63" s="1"/>
  <c r="H26" i="63"/>
  <c r="AI25" i="63"/>
  <c r="AD25" i="63"/>
  <c r="AB25" i="63"/>
  <c r="Y25" i="63"/>
  <c r="X25" i="63"/>
  <c r="V25" i="63"/>
  <c r="R25" i="63"/>
  <c r="Q25" i="63"/>
  <c r="O25" i="63"/>
  <c r="K25" i="63"/>
  <c r="J25" i="63"/>
  <c r="H25" i="63"/>
  <c r="AI24" i="63"/>
  <c r="AD24" i="63"/>
  <c r="AB24" i="63"/>
  <c r="Y24" i="63"/>
  <c r="X24" i="63"/>
  <c r="V24" i="63"/>
  <c r="R24" i="63"/>
  <c r="Q24" i="63"/>
  <c r="O24" i="63"/>
  <c r="S24" i="63" s="1"/>
  <c r="K24" i="63"/>
  <c r="J24" i="63"/>
  <c r="H24" i="63"/>
  <c r="AI23" i="63"/>
  <c r="AD23" i="63"/>
  <c r="AB23" i="63"/>
  <c r="Y23" i="63"/>
  <c r="X23" i="63"/>
  <c r="V23" i="63"/>
  <c r="R23" i="63"/>
  <c r="Q23" i="63"/>
  <c r="O23" i="63"/>
  <c r="S23" i="63" s="1"/>
  <c r="K23" i="63"/>
  <c r="J23" i="63"/>
  <c r="H23" i="63"/>
  <c r="AI22" i="63"/>
  <c r="AD22" i="63"/>
  <c r="AB22" i="63"/>
  <c r="Y22" i="63"/>
  <c r="X22" i="63"/>
  <c r="V22" i="63"/>
  <c r="R22" i="63"/>
  <c r="Q22" i="63"/>
  <c r="O22" i="63"/>
  <c r="K22" i="63"/>
  <c r="J22" i="63"/>
  <c r="H22" i="63"/>
  <c r="AI21" i="63"/>
  <c r="Y21" i="63"/>
  <c r="X21" i="63"/>
  <c r="V21" i="63"/>
  <c r="R21" i="63"/>
  <c r="Q21" i="63"/>
  <c r="J83" i="63" s="1"/>
  <c r="O21" i="63"/>
  <c r="H83" i="63" s="1"/>
  <c r="AI20" i="63"/>
  <c r="AD20" i="63"/>
  <c r="AB20" i="63"/>
  <c r="Y20" i="63"/>
  <c r="X20" i="63"/>
  <c r="V20" i="63"/>
  <c r="R20" i="63"/>
  <c r="Q20" i="63"/>
  <c r="O20" i="63"/>
  <c r="K20" i="63"/>
  <c r="J20" i="63"/>
  <c r="H20" i="63"/>
  <c r="AI19" i="63"/>
  <c r="AD19" i="63"/>
  <c r="AB19" i="63"/>
  <c r="Y19" i="63"/>
  <c r="X19" i="63"/>
  <c r="V19" i="63"/>
  <c r="R19" i="63"/>
  <c r="Q19" i="63"/>
  <c r="O19" i="63"/>
  <c r="K19" i="63"/>
  <c r="J19" i="63"/>
  <c r="H19" i="63"/>
  <c r="AI18" i="63"/>
  <c r="AD18" i="63"/>
  <c r="AB18" i="63"/>
  <c r="Y18" i="63"/>
  <c r="X18" i="63"/>
  <c r="V18" i="63"/>
  <c r="R18" i="63"/>
  <c r="Q18" i="63"/>
  <c r="O18" i="63"/>
  <c r="K18" i="63"/>
  <c r="J18" i="63"/>
  <c r="H18" i="63"/>
  <c r="AI17" i="63"/>
  <c r="AD17" i="63"/>
  <c r="AB17" i="63"/>
  <c r="Y17" i="63"/>
  <c r="X17" i="63"/>
  <c r="V17" i="63"/>
  <c r="R17" i="63"/>
  <c r="Q17" i="63"/>
  <c r="O17" i="63"/>
  <c r="K17" i="63"/>
  <c r="J17" i="63"/>
  <c r="L17" i="63" s="1"/>
  <c r="H17" i="63"/>
  <c r="AI16" i="63"/>
  <c r="AD16" i="63"/>
  <c r="AB16" i="63"/>
  <c r="Y16" i="63"/>
  <c r="X16" i="63"/>
  <c r="V16" i="63"/>
  <c r="R16" i="63"/>
  <c r="Q16" i="63"/>
  <c r="O16" i="63"/>
  <c r="K16" i="63"/>
  <c r="J16" i="63"/>
  <c r="H16" i="63"/>
  <c r="AI15" i="63"/>
  <c r="AD15" i="63"/>
  <c r="AB15" i="63"/>
  <c r="Y15" i="63"/>
  <c r="X15" i="63"/>
  <c r="V15" i="63"/>
  <c r="R15" i="63"/>
  <c r="Q15" i="63"/>
  <c r="O15" i="63"/>
  <c r="K15" i="63"/>
  <c r="J15" i="63"/>
  <c r="H15" i="63"/>
  <c r="AI14" i="63"/>
  <c r="AD14" i="63"/>
  <c r="AB14" i="63"/>
  <c r="Y14" i="63"/>
  <c r="X14" i="63"/>
  <c r="V14" i="63"/>
  <c r="R14" i="63"/>
  <c r="Q14" i="63"/>
  <c r="O14" i="63"/>
  <c r="K14" i="63"/>
  <c r="J14" i="63"/>
  <c r="H14" i="63"/>
  <c r="AI13" i="63"/>
  <c r="AD13" i="63"/>
  <c r="AB13" i="63"/>
  <c r="Y13" i="63"/>
  <c r="X13" i="63"/>
  <c r="V13" i="63"/>
  <c r="R13" i="63"/>
  <c r="Q13" i="63"/>
  <c r="O13" i="63"/>
  <c r="K13" i="63"/>
  <c r="J13" i="63"/>
  <c r="H13" i="63"/>
  <c r="AI12" i="63"/>
  <c r="AD12" i="63"/>
  <c r="AB12" i="63"/>
  <c r="Y12" i="63"/>
  <c r="X12" i="63"/>
  <c r="V12" i="63"/>
  <c r="R12" i="63"/>
  <c r="Q12" i="63"/>
  <c r="O12" i="63"/>
  <c r="K12" i="63"/>
  <c r="J12" i="63"/>
  <c r="H12" i="63"/>
  <c r="AI11" i="63"/>
  <c r="AD11" i="63"/>
  <c r="AB11" i="63"/>
  <c r="Y11" i="63"/>
  <c r="X11" i="63"/>
  <c r="V11" i="63"/>
  <c r="R11" i="63"/>
  <c r="Q11" i="63"/>
  <c r="O11" i="63"/>
  <c r="K11" i="63"/>
  <c r="J11" i="63"/>
  <c r="H11" i="63"/>
  <c r="AI10" i="63"/>
  <c r="AD10" i="63"/>
  <c r="AB10" i="63"/>
  <c r="Y10" i="63"/>
  <c r="X10" i="63"/>
  <c r="V10" i="63"/>
  <c r="R10" i="63"/>
  <c r="Q10" i="63"/>
  <c r="O10" i="63"/>
  <c r="K10" i="63"/>
  <c r="J10" i="63"/>
  <c r="H10" i="63"/>
  <c r="AI9" i="63"/>
  <c r="AD9" i="63"/>
  <c r="AB9" i="63"/>
  <c r="Y9" i="63"/>
  <c r="X9" i="63"/>
  <c r="V9" i="63"/>
  <c r="R9" i="63"/>
  <c r="Q9" i="63"/>
  <c r="O9" i="63"/>
  <c r="K9" i="63"/>
  <c r="J9" i="63"/>
  <c r="H9" i="63"/>
  <c r="AI8" i="63"/>
  <c r="AD8" i="63"/>
  <c r="AB8" i="63"/>
  <c r="Y8" i="63"/>
  <c r="X8" i="63"/>
  <c r="V8" i="63"/>
  <c r="R8" i="63"/>
  <c r="Q8" i="63"/>
  <c r="O8" i="63"/>
  <c r="K8" i="63"/>
  <c r="J8" i="63"/>
  <c r="H8" i="63"/>
  <c r="AI7" i="63"/>
  <c r="AD7" i="63"/>
  <c r="AB7" i="63"/>
  <c r="Y7" i="63"/>
  <c r="X7" i="63"/>
  <c r="V7" i="63"/>
  <c r="R7" i="63"/>
  <c r="Q7" i="63"/>
  <c r="O7" i="63"/>
  <c r="K7" i="63"/>
  <c r="J7" i="63"/>
  <c r="H7" i="63"/>
  <c r="Z7" i="63" l="1"/>
  <c r="L24" i="63"/>
  <c r="Z53" i="63"/>
  <c r="Z70" i="63"/>
  <c r="Z36" i="63"/>
  <c r="Z109" i="63"/>
  <c r="S28" i="63"/>
  <c r="S29" i="63"/>
  <c r="Z115" i="63"/>
  <c r="L19" i="63"/>
  <c r="L63" i="63"/>
  <c r="AG63" i="63" s="1"/>
  <c r="AE53" i="63"/>
  <c r="AC7" i="63"/>
  <c r="S17" i="63"/>
  <c r="S40" i="63"/>
  <c r="S41" i="63"/>
  <c r="AF68" i="63"/>
  <c r="S54" i="63"/>
  <c r="AC60" i="63"/>
  <c r="S61" i="63"/>
  <c r="S63" i="63"/>
  <c r="S65" i="63"/>
  <c r="AG65" i="63" s="1"/>
  <c r="S66" i="63"/>
  <c r="L8" i="63"/>
  <c r="L10" i="63"/>
  <c r="L12" i="63"/>
  <c r="Z45" i="63"/>
  <c r="L66" i="63"/>
  <c r="L67" i="63"/>
  <c r="L70" i="63"/>
  <c r="AF100" i="63"/>
  <c r="L25" i="63"/>
  <c r="L27" i="63"/>
  <c r="AG27" i="63" s="1"/>
  <c r="L28" i="63"/>
  <c r="L30" i="63"/>
  <c r="L31" i="63"/>
  <c r="AG31" i="63" s="1"/>
  <c r="L34" i="63"/>
  <c r="L37" i="63"/>
  <c r="AF24" i="63"/>
  <c r="S62" i="63"/>
  <c r="S69" i="63"/>
  <c r="AC71" i="63"/>
  <c r="AG99" i="63"/>
  <c r="G32" i="63"/>
  <c r="AF26" i="63"/>
  <c r="AF27" i="63"/>
  <c r="AF29" i="63"/>
  <c r="Z58" i="63"/>
  <c r="Z60" i="63"/>
  <c r="L81" i="63"/>
  <c r="AC110" i="63"/>
  <c r="AF15" i="63"/>
  <c r="S36" i="63"/>
  <c r="Z62" i="63"/>
  <c r="Z8" i="63"/>
  <c r="Z9" i="63"/>
  <c r="Z12" i="63"/>
  <c r="Z16" i="63"/>
  <c r="L51" i="63"/>
  <c r="AG51" i="63" s="1"/>
  <c r="L52" i="63"/>
  <c r="L53" i="63"/>
  <c r="Z64" i="63"/>
  <c r="Z65" i="63"/>
  <c r="Z67" i="63"/>
  <c r="L108" i="63"/>
  <c r="G35" i="63"/>
  <c r="AE8" i="63"/>
  <c r="Z17" i="63"/>
  <c r="Z18" i="63"/>
  <c r="Z19" i="63"/>
  <c r="AG19" i="63" s="1"/>
  <c r="AF49" i="63"/>
  <c r="AF109" i="63"/>
  <c r="I35" i="63"/>
  <c r="Z29" i="63"/>
  <c r="Z33" i="63"/>
  <c r="S47" i="63"/>
  <c r="AC48" i="63"/>
  <c r="AF52" i="63"/>
  <c r="AF53" i="63"/>
  <c r="L54" i="63"/>
  <c r="AF102" i="63"/>
  <c r="AF108" i="63"/>
  <c r="K115" i="63"/>
  <c r="AF115" i="63" s="1"/>
  <c r="G21" i="63"/>
  <c r="S50" i="63"/>
  <c r="S51" i="63"/>
  <c r="S53" i="63"/>
  <c r="AC55" i="63"/>
  <c r="AG102" i="63"/>
  <c r="S103" i="63"/>
  <c r="S108" i="63"/>
  <c r="AE109" i="63"/>
  <c r="AD115" i="63"/>
  <c r="I21" i="63"/>
  <c r="I86" i="63"/>
  <c r="Z14" i="63"/>
  <c r="L7" i="63"/>
  <c r="S21" i="63"/>
  <c r="L83" i="63" s="1"/>
  <c r="AC36" i="63"/>
  <c r="Z46" i="63"/>
  <c r="AE49" i="63"/>
  <c r="Z63" i="63"/>
  <c r="S71" i="63"/>
  <c r="Z22" i="63"/>
  <c r="AF34" i="63"/>
  <c r="AE36" i="63"/>
  <c r="Z47" i="63"/>
  <c r="AE58" i="63"/>
  <c r="AG101" i="63"/>
  <c r="AB114" i="63"/>
  <c r="Z24" i="63"/>
  <c r="Z25" i="63"/>
  <c r="AE30" i="63"/>
  <c r="S31" i="63"/>
  <c r="S33" i="63"/>
  <c r="L38" i="63"/>
  <c r="Z49" i="63"/>
  <c r="Z50" i="63"/>
  <c r="AF58" i="63"/>
  <c r="AE60" i="63"/>
  <c r="AF30" i="63"/>
  <c r="S57" i="63"/>
  <c r="Z69" i="63"/>
  <c r="AG100" i="63"/>
  <c r="Z108" i="63"/>
  <c r="Z110" i="63"/>
  <c r="AF10" i="63"/>
  <c r="AE11" i="63"/>
  <c r="AE12" i="63"/>
  <c r="L13" i="63"/>
  <c r="L14" i="63"/>
  <c r="AG14" i="63" s="1"/>
  <c r="L15" i="63"/>
  <c r="L16" i="63"/>
  <c r="Z31" i="63"/>
  <c r="AC41" i="63"/>
  <c r="L42" i="63"/>
  <c r="AF54" i="63"/>
  <c r="S59" i="63"/>
  <c r="S60" i="63"/>
  <c r="AF99" i="63"/>
  <c r="AF12" i="63"/>
  <c r="AE17" i="63"/>
  <c r="AC18" i="63"/>
  <c r="AF39" i="63"/>
  <c r="AE41" i="63"/>
  <c r="AE43" i="63"/>
  <c r="AC65" i="63"/>
  <c r="S10" i="63"/>
  <c r="AF17" i="63"/>
  <c r="AE19" i="63"/>
  <c r="L20" i="63"/>
  <c r="Z34" i="63"/>
  <c r="Z35" i="63"/>
  <c r="AF41" i="63"/>
  <c r="L46" i="63"/>
  <c r="Z54" i="63"/>
  <c r="AG54" i="63" s="1"/>
  <c r="Z55" i="63"/>
  <c r="Z56" i="63"/>
  <c r="AF63" i="63"/>
  <c r="L65" i="63"/>
  <c r="AF98" i="63"/>
  <c r="AC108" i="63"/>
  <c r="AF8" i="63"/>
  <c r="S14" i="63"/>
  <c r="S16" i="63"/>
  <c r="L22" i="63"/>
  <c r="S42" i="63"/>
  <c r="AF65" i="63"/>
  <c r="AF67" i="63"/>
  <c r="L69" i="63"/>
  <c r="AG98" i="63"/>
  <c r="AE22" i="63"/>
  <c r="AC29" i="63"/>
  <c r="AE39" i="63"/>
  <c r="AE40" i="63"/>
  <c r="G81" i="63"/>
  <c r="AF97" i="63"/>
  <c r="AC109" i="63"/>
  <c r="Z10" i="63"/>
  <c r="Z38" i="63"/>
  <c r="Z61" i="63"/>
  <c r="AE63" i="63"/>
  <c r="AE70" i="63"/>
  <c r="AG97" i="63"/>
  <c r="AE103" i="63"/>
  <c r="K81" i="63"/>
  <c r="S9" i="63"/>
  <c r="AC53" i="63"/>
  <c r="L58" i="63"/>
  <c r="AE7" i="63"/>
  <c r="S12" i="63"/>
  <c r="AG12" i="63" s="1"/>
  <c r="AE14" i="63"/>
  <c r="L18" i="63"/>
  <c r="X73" i="63"/>
  <c r="AE25" i="63"/>
  <c r="AF28" i="63"/>
  <c r="Z32" i="63"/>
  <c r="AE34" i="63"/>
  <c r="AF36" i="63"/>
  <c r="Z39" i="63"/>
  <c r="L43" i="63"/>
  <c r="AG43" i="63" s="1"/>
  <c r="Z48" i="63"/>
  <c r="AE54" i="63"/>
  <c r="AF56" i="63"/>
  <c r="AF57" i="63"/>
  <c r="AE59" i="63"/>
  <c r="L60" i="63"/>
  <c r="AE67" i="63"/>
  <c r="AF47" i="63"/>
  <c r="AC61" i="63"/>
  <c r="AC11" i="63"/>
  <c r="AE45" i="63"/>
  <c r="AE51" i="63"/>
  <c r="AF60" i="63"/>
  <c r="AF71" i="63"/>
  <c r="AF103" i="63"/>
  <c r="S19" i="63"/>
  <c r="L29" i="63"/>
  <c r="AG29" i="63" s="1"/>
  <c r="Z11" i="63"/>
  <c r="AF18" i="63"/>
  <c r="AC20" i="63"/>
  <c r="AF22" i="63"/>
  <c r="AC30" i="63"/>
  <c r="S35" i="63"/>
  <c r="L85" i="63" s="1"/>
  <c r="AE38" i="63"/>
  <c r="AF51" i="63"/>
  <c r="AE52" i="63"/>
  <c r="AC54" i="63"/>
  <c r="Z57" i="63"/>
  <c r="AF66" i="63"/>
  <c r="S67" i="63"/>
  <c r="AG67" i="63" s="1"/>
  <c r="G86" i="63"/>
  <c r="L109" i="63"/>
  <c r="AG109" i="63" s="1"/>
  <c r="AE110" i="63"/>
  <c r="Z15" i="63"/>
  <c r="AC25" i="63"/>
  <c r="AF14" i="63"/>
  <c r="AC13" i="63"/>
  <c r="AF43" i="63"/>
  <c r="R73" i="63"/>
  <c r="AF13" i="63"/>
  <c r="AE20" i="63"/>
  <c r="J86" i="63"/>
  <c r="AF42" i="63"/>
  <c r="AC44" i="63"/>
  <c r="AF46" i="63"/>
  <c r="L61" i="63"/>
  <c r="AE62" i="63"/>
  <c r="AF70" i="63"/>
  <c r="AF110" i="63"/>
  <c r="AG103" i="63"/>
  <c r="AF25" i="63"/>
  <c r="S11" i="63"/>
  <c r="AE18" i="63"/>
  <c r="AE27" i="63"/>
  <c r="AC8" i="63"/>
  <c r="Z13" i="63"/>
  <c r="S15" i="63"/>
  <c r="AF20" i="63"/>
  <c r="S22" i="63"/>
  <c r="AC24" i="63"/>
  <c r="Z28" i="63"/>
  <c r="AE31" i="63"/>
  <c r="AE37" i="63"/>
  <c r="AE47" i="63"/>
  <c r="L48" i="63"/>
  <c r="Z52" i="63"/>
  <c r="AF62" i="63"/>
  <c r="Z66" i="63"/>
  <c r="AG66" i="63" s="1"/>
  <c r="S110" i="63"/>
  <c r="AG17" i="63"/>
  <c r="V73" i="63"/>
  <c r="L36" i="63"/>
  <c r="AG36" i="63" s="1"/>
  <c r="AE28" i="63"/>
  <c r="AE10" i="63"/>
  <c r="AE15" i="63"/>
  <c r="AC17" i="63"/>
  <c r="Z20" i="63"/>
  <c r="AE24" i="63"/>
  <c r="AF31" i="63"/>
  <c r="AF37" i="63"/>
  <c r="L40" i="63"/>
  <c r="AG40" i="63" s="1"/>
  <c r="Z42" i="63"/>
  <c r="AG42" i="63" s="1"/>
  <c r="AF44" i="63"/>
  <c r="AE48" i="63"/>
  <c r="AE55" i="63"/>
  <c r="Z59" i="63"/>
  <c r="AE61" i="63"/>
  <c r="AE66" i="63"/>
  <c r="Z68" i="63"/>
  <c r="Z21" i="63"/>
  <c r="AE33" i="63"/>
  <c r="AE42" i="63"/>
  <c r="Z44" i="63"/>
  <c r="AE46" i="63"/>
  <c r="AF48" i="63"/>
  <c r="L50" i="63"/>
  <c r="AG50" i="63" s="1"/>
  <c r="AF55" i="63"/>
  <c r="L57" i="63"/>
  <c r="L64" i="63"/>
  <c r="AF72" i="63"/>
  <c r="AG24" i="63"/>
  <c r="L26" i="63"/>
  <c r="AG26" i="63" s="1"/>
  <c r="Z37" i="63"/>
  <c r="AG37" i="63" s="1"/>
  <c r="S48" i="63"/>
  <c r="AE50" i="63"/>
  <c r="AE56" i="63"/>
  <c r="AE57" i="63"/>
  <c r="AF59" i="63"/>
  <c r="AC113" i="63"/>
  <c r="AC114" i="63"/>
  <c r="AE108" i="63"/>
  <c r="L110" i="63"/>
  <c r="H115" i="63"/>
  <c r="AG108" i="63"/>
  <c r="AB115" i="63"/>
  <c r="J115" i="63"/>
  <c r="AE115" i="63" s="1"/>
  <c r="J113" i="63"/>
  <c r="AE113" i="63" s="1"/>
  <c r="J114" i="63"/>
  <c r="AE114" i="63" s="1"/>
  <c r="K113" i="63"/>
  <c r="AF113" i="63" s="1"/>
  <c r="K114" i="63"/>
  <c r="AF114" i="63" s="1"/>
  <c r="AF9" i="63"/>
  <c r="S20" i="63"/>
  <c r="AC22" i="63"/>
  <c r="S30" i="63"/>
  <c r="S56" i="63"/>
  <c r="AC56" i="63"/>
  <c r="AC63" i="63"/>
  <c r="AC62" i="63"/>
  <c r="L62" i="63"/>
  <c r="AG62" i="63" s="1"/>
  <c r="AF23" i="63"/>
  <c r="AE32" i="63"/>
  <c r="H84" i="63"/>
  <c r="H86" i="63" s="1"/>
  <c r="AF7" i="63"/>
  <c r="S13" i="63"/>
  <c r="AC15" i="63"/>
  <c r="Z23" i="63"/>
  <c r="Z30" i="63"/>
  <c r="S39" i="63"/>
  <c r="AG39" i="63" s="1"/>
  <c r="AE44" i="63"/>
  <c r="AC47" i="63"/>
  <c r="AE68" i="63"/>
  <c r="AC12" i="63"/>
  <c r="AC19" i="63"/>
  <c r="AC49" i="63"/>
  <c r="AG69" i="63"/>
  <c r="AC26" i="63"/>
  <c r="L33" i="63"/>
  <c r="AG33" i="63" s="1"/>
  <c r="AC33" i="63"/>
  <c r="AF40" i="63"/>
  <c r="L45" i="63"/>
  <c r="AG45" i="63" s="1"/>
  <c r="AC45" i="63"/>
  <c r="S68" i="63"/>
  <c r="AC68" i="63"/>
  <c r="AE69" i="63"/>
  <c r="Z71" i="63"/>
  <c r="O73" i="63"/>
  <c r="L9" i="63"/>
  <c r="AC9" i="63"/>
  <c r="AF11" i="63"/>
  <c r="S25" i="63"/>
  <c r="AG25" i="63" s="1"/>
  <c r="AC27" i="63"/>
  <c r="AC38" i="63"/>
  <c r="L41" i="63"/>
  <c r="AG41" i="63" s="1"/>
  <c r="S44" i="63"/>
  <c r="AF64" i="63"/>
  <c r="AE65" i="63"/>
  <c r="Q73" i="63"/>
  <c r="AG53" i="63"/>
  <c r="AF19" i="63"/>
  <c r="S32" i="63"/>
  <c r="L84" i="63" s="1"/>
  <c r="S58" i="63"/>
  <c r="AC58" i="63"/>
  <c r="Y73" i="63"/>
  <c r="AE9" i="63"/>
  <c r="AC10" i="63"/>
  <c r="AE13" i="63"/>
  <c r="AF16" i="63"/>
  <c r="S18" i="63"/>
  <c r="AE23" i="63"/>
  <c r="AC31" i="63"/>
  <c r="AC37" i="63"/>
  <c r="AF50" i="63"/>
  <c r="L55" i="63"/>
  <c r="AG55" i="63" s="1"/>
  <c r="AF69" i="63"/>
  <c r="AC14" i="63"/>
  <c r="AF33" i="63"/>
  <c r="AF38" i="63"/>
  <c r="AC42" i="63"/>
  <c r="AF45" i="63"/>
  <c r="AC51" i="63"/>
  <c r="AC59" i="63"/>
  <c r="AE64" i="63"/>
  <c r="AC66" i="63"/>
  <c r="S70" i="63"/>
  <c r="AG70" i="63" s="1"/>
  <c r="AC70" i="63"/>
  <c r="AC50" i="63"/>
  <c r="S8" i="63"/>
  <c r="AE16" i="63"/>
  <c r="AC23" i="63"/>
  <c r="S34" i="63"/>
  <c r="AC34" i="63"/>
  <c r="AC39" i="63"/>
  <c r="AC43" i="63"/>
  <c r="S46" i="63"/>
  <c r="AC46" i="63"/>
  <c r="S49" i="63"/>
  <c r="AF61" i="63"/>
  <c r="AC67" i="63"/>
  <c r="AE71" i="63"/>
  <c r="AG72" i="63"/>
  <c r="K83" i="63"/>
  <c r="K86" i="63" s="1"/>
  <c r="L44" i="63"/>
  <c r="S52" i="63"/>
  <c r="L56" i="63"/>
  <c r="S64" i="63"/>
  <c r="L68" i="63"/>
  <c r="AC57" i="63"/>
  <c r="AC69" i="63"/>
  <c r="AC103" i="63"/>
  <c r="AC16" i="63"/>
  <c r="AC28" i="63"/>
  <c r="AC40" i="63"/>
  <c r="AC52" i="63"/>
  <c r="AC64" i="63"/>
  <c r="S7" i="63"/>
  <c r="L11" i="63"/>
  <c r="L23" i="63"/>
  <c r="L47" i="63"/>
  <c r="AG47" i="63" s="1"/>
  <c r="L59" i="63"/>
  <c r="L71" i="63"/>
  <c r="AG71" i="63" s="1"/>
  <c r="AG22" i="63" l="1"/>
  <c r="AG15" i="63"/>
  <c r="AG16" i="63"/>
  <c r="AG38" i="63"/>
  <c r="AG58" i="63"/>
  <c r="AG46" i="63"/>
  <c r="L86" i="63"/>
  <c r="AG10" i="63"/>
  <c r="AG57" i="63"/>
  <c r="AB32" i="63"/>
  <c r="K32" i="63"/>
  <c r="AF32" i="63" s="1"/>
  <c r="H32" i="63"/>
  <c r="AG52" i="63"/>
  <c r="AG60" i="63"/>
  <c r="AG28" i="63"/>
  <c r="K35" i="63"/>
  <c r="AF35" i="63" s="1"/>
  <c r="AB35" i="63"/>
  <c r="H35" i="63"/>
  <c r="AG20" i="63"/>
  <c r="J35" i="63"/>
  <c r="AE35" i="63" s="1"/>
  <c r="AD35" i="63"/>
  <c r="J21" i="63"/>
  <c r="AD21" i="63"/>
  <c r="AD73" i="63" s="1"/>
  <c r="I73" i="63"/>
  <c r="I88" i="63" s="1"/>
  <c r="AG8" i="63"/>
  <c r="G73" i="63"/>
  <c r="K21" i="63"/>
  <c r="H21" i="63"/>
  <c r="AB21" i="63"/>
  <c r="G88" i="63"/>
  <c r="AG59" i="63"/>
  <c r="AG9" i="63"/>
  <c r="AG49" i="63"/>
  <c r="AG11" i="63"/>
  <c r="AG64" i="63"/>
  <c r="AG61" i="63"/>
  <c r="AG34" i="63"/>
  <c r="AG48" i="63"/>
  <c r="AG18" i="63"/>
  <c r="AG68" i="63"/>
  <c r="Z73" i="63"/>
  <c r="AG13" i="63"/>
  <c r="AG110" i="63"/>
  <c r="AG44" i="63"/>
  <c r="L114" i="63"/>
  <c r="AG114" i="63" s="1"/>
  <c r="L115" i="63"/>
  <c r="AG115" i="63" s="1"/>
  <c r="AC115" i="63"/>
  <c r="L113" i="63"/>
  <c r="L111" i="63"/>
  <c r="AG23" i="63"/>
  <c r="AG30" i="63"/>
  <c r="S73" i="63"/>
  <c r="AG56" i="63"/>
  <c r="AG7" i="63"/>
  <c r="AB73" i="63" l="1"/>
  <c r="AF21" i="63"/>
  <c r="AF73" i="63" s="1"/>
  <c r="K73" i="63"/>
  <c r="K88" i="63" s="1"/>
  <c r="AC35" i="63"/>
  <c r="L35" i="63"/>
  <c r="AG35" i="63" s="1"/>
  <c r="L21" i="63"/>
  <c r="H73" i="63"/>
  <c r="H88" i="63" s="1"/>
  <c r="AC21" i="63"/>
  <c r="L32" i="63"/>
  <c r="AG32" i="63" s="1"/>
  <c r="AC32" i="63"/>
  <c r="J73" i="63"/>
  <c r="J88" i="63" s="1"/>
  <c r="AE21" i="63"/>
  <c r="AE73" i="63" s="1"/>
  <c r="L116" i="63"/>
  <c r="L117" i="63" s="1"/>
  <c r="AG113" i="63"/>
  <c r="AC73" i="63" l="1"/>
  <c r="L73" i="63"/>
  <c r="L88" i="63" s="1"/>
  <c r="L90" i="63" s="1"/>
  <c r="L92" i="63" s="1"/>
  <c r="H21" i="3" s="1"/>
  <c r="L21" i="3" s="1"/>
  <c r="AG21" i="63"/>
  <c r="AG73" i="63" s="1"/>
  <c r="K34" i="62" l="1"/>
  <c r="K36" i="62" s="1"/>
  <c r="H41" i="62"/>
  <c r="H40" i="62"/>
  <c r="H39" i="62"/>
  <c r="H23" i="62"/>
  <c r="H22" i="62"/>
  <c r="H24" i="62" s="1"/>
  <c r="H19" i="62" s="1"/>
  <c r="H17" i="62"/>
  <c r="H15" i="62"/>
  <c r="H14" i="62"/>
  <c r="H68" i="62"/>
  <c r="H66" i="62"/>
  <c r="H65" i="62"/>
  <c r="G64" i="62"/>
  <c r="G67" i="62" s="1"/>
  <c r="G69" i="62" s="1"/>
  <c r="F64" i="62"/>
  <c r="F67" i="62" s="1"/>
  <c r="F69" i="62" s="1"/>
  <c r="E64" i="62"/>
  <c r="E67" i="62" s="1"/>
  <c r="E69" i="62" s="1"/>
  <c r="C64" i="62"/>
  <c r="C67" i="62" s="1"/>
  <c r="H63" i="62"/>
  <c r="H62" i="62"/>
  <c r="H61" i="62"/>
  <c r="H60" i="62"/>
  <c r="A60" i="62"/>
  <c r="A61" i="62" s="1"/>
  <c r="A62" i="62" s="1"/>
  <c r="H59" i="62"/>
  <c r="H58" i="62"/>
  <c r="H57" i="62"/>
  <c r="H56" i="62"/>
  <c r="H55" i="62"/>
  <c r="H54" i="62"/>
  <c r="A54" i="62"/>
  <c r="A55" i="62" s="1"/>
  <c r="A56" i="62" s="1"/>
  <c r="A57" i="62" s="1"/>
  <c r="A58" i="62" s="1"/>
  <c r="H53" i="62"/>
  <c r="H52" i="62"/>
  <c r="A52" i="62"/>
  <c r="H51" i="62"/>
  <c r="H50" i="62"/>
  <c r="H49" i="62"/>
  <c r="H48" i="62"/>
  <c r="H35" i="62"/>
  <c r="H8" i="62"/>
  <c r="H7" i="62"/>
  <c r="H9" i="62" s="1"/>
  <c r="D42" i="61"/>
  <c r="C42" i="61"/>
  <c r="G41" i="61"/>
  <c r="J41" i="61" s="1"/>
  <c r="F41" i="61"/>
  <c r="I41" i="61" s="1"/>
  <c r="G40" i="61"/>
  <c r="J40" i="61" s="1"/>
  <c r="F40" i="61"/>
  <c r="I40" i="61" s="1"/>
  <c r="G39" i="61"/>
  <c r="J39" i="61" s="1"/>
  <c r="F39" i="61"/>
  <c r="I39" i="61" s="1"/>
  <c r="G38" i="61"/>
  <c r="F38" i="61"/>
  <c r="D32" i="61"/>
  <c r="C32" i="61"/>
  <c r="G31" i="61"/>
  <c r="J31" i="61" s="1"/>
  <c r="F31" i="61"/>
  <c r="I31" i="61" s="1"/>
  <c r="G30" i="61"/>
  <c r="J30" i="61" s="1"/>
  <c r="F30" i="61"/>
  <c r="I30" i="61" s="1"/>
  <c r="G29" i="61"/>
  <c r="J29" i="61" s="1"/>
  <c r="F29" i="61"/>
  <c r="I29" i="61" s="1"/>
  <c r="G28" i="61"/>
  <c r="F28" i="61"/>
  <c r="I28" i="61" s="1"/>
  <c r="J23" i="61"/>
  <c r="J13" i="61"/>
  <c r="J21" i="61"/>
  <c r="I21" i="61"/>
  <c r="J20" i="61"/>
  <c r="I20" i="61"/>
  <c r="J19" i="61"/>
  <c r="I19" i="61"/>
  <c r="J18" i="61"/>
  <c r="J22" i="61" s="1"/>
  <c r="I18" i="61"/>
  <c r="I22" i="61" s="1"/>
  <c r="J12" i="61"/>
  <c r="J11" i="61"/>
  <c r="J10" i="61"/>
  <c r="J9" i="61"/>
  <c r="J8" i="61"/>
  <c r="I12" i="61"/>
  <c r="I9" i="61"/>
  <c r="I10" i="61"/>
  <c r="I11" i="61"/>
  <c r="I8" i="61"/>
  <c r="G23" i="61"/>
  <c r="G21" i="61"/>
  <c r="G20" i="61"/>
  <c r="G19" i="61"/>
  <c r="G18" i="61"/>
  <c r="G22" i="61" s="1"/>
  <c r="F19" i="61"/>
  <c r="F20" i="61"/>
  <c r="F21" i="61"/>
  <c r="F18" i="61"/>
  <c r="G13" i="61"/>
  <c r="G11" i="61"/>
  <c r="G10" i="61"/>
  <c r="G9" i="61"/>
  <c r="G8" i="61"/>
  <c r="F11" i="61"/>
  <c r="F10" i="61"/>
  <c r="F9" i="61"/>
  <c r="F8" i="61"/>
  <c r="D22" i="61"/>
  <c r="C22" i="61"/>
  <c r="G12" i="61"/>
  <c r="D12" i="61"/>
  <c r="C12" i="61"/>
  <c r="H16" i="62" l="1"/>
  <c r="H18" i="62" s="1"/>
  <c r="H20" i="62" s="1"/>
  <c r="H24" i="3" s="1"/>
  <c r="H64" i="62"/>
  <c r="H67" i="62" s="1"/>
  <c r="H69" i="62" s="1"/>
  <c r="F42" i="61"/>
  <c r="G42" i="61"/>
  <c r="G43" i="61" s="1"/>
  <c r="G32" i="61"/>
  <c r="I32" i="61"/>
  <c r="J28" i="61"/>
  <c r="J32" i="61" s="1"/>
  <c r="J38" i="61"/>
  <c r="J42" i="61" s="1"/>
  <c r="I38" i="61"/>
  <c r="I42" i="61" s="1"/>
  <c r="F32" i="61"/>
  <c r="G33" i="61" s="1"/>
  <c r="F22" i="61"/>
  <c r="F12" i="61"/>
  <c r="J43" i="61" l="1"/>
  <c r="J33" i="61"/>
  <c r="J164" i="59"/>
  <c r="J165" i="59" s="1"/>
  <c r="H28" i="59"/>
  <c r="J156" i="59"/>
  <c r="J157" i="59" s="1"/>
  <c r="F146" i="59"/>
  <c r="E146" i="59"/>
  <c r="F148" i="59" s="1"/>
  <c r="J148" i="59" s="1"/>
  <c r="H144" i="59"/>
  <c r="G143" i="59"/>
  <c r="H143" i="59" s="1"/>
  <c r="H146" i="59" s="1"/>
  <c r="G149" i="59" s="1"/>
  <c r="J149" i="59" s="1"/>
  <c r="G142" i="59"/>
  <c r="J141" i="59"/>
  <c r="I141" i="59"/>
  <c r="I145" i="59" s="1"/>
  <c r="H141" i="59"/>
  <c r="H145" i="59" s="1"/>
  <c r="G141" i="59"/>
  <c r="G145" i="59" s="1"/>
  <c r="F131" i="59"/>
  <c r="E131" i="59"/>
  <c r="F134" i="59" s="1"/>
  <c r="G127" i="59"/>
  <c r="J126" i="59"/>
  <c r="I126" i="59"/>
  <c r="I130" i="59" s="1"/>
  <c r="H126" i="59"/>
  <c r="H130" i="59" s="1"/>
  <c r="G126" i="59"/>
  <c r="G130" i="59" s="1"/>
  <c r="F116" i="59"/>
  <c r="E116" i="59"/>
  <c r="F119" i="59" s="1"/>
  <c r="F123" i="59" s="1"/>
  <c r="G112" i="59"/>
  <c r="J111" i="59"/>
  <c r="I111" i="59"/>
  <c r="I115" i="59" s="1"/>
  <c r="H111" i="59"/>
  <c r="H115" i="59" s="1"/>
  <c r="G111" i="59"/>
  <c r="G114" i="59" s="1"/>
  <c r="F101" i="59"/>
  <c r="E101" i="59"/>
  <c r="F104" i="59" s="1"/>
  <c r="J104" i="59" s="1"/>
  <c r="G97" i="59"/>
  <c r="K97" i="59" s="1"/>
  <c r="J96" i="59"/>
  <c r="I96" i="59"/>
  <c r="I100" i="59" s="1"/>
  <c r="H96" i="59"/>
  <c r="H100" i="59" s="1"/>
  <c r="G96" i="59"/>
  <c r="G100" i="59" s="1"/>
  <c r="F87" i="59"/>
  <c r="E87" i="59"/>
  <c r="F89" i="59" s="1"/>
  <c r="G83" i="59"/>
  <c r="K83" i="59" s="1"/>
  <c r="J82" i="59"/>
  <c r="I82" i="59"/>
  <c r="I86" i="59" s="1"/>
  <c r="H82" i="59"/>
  <c r="H86" i="59" s="1"/>
  <c r="G82" i="59"/>
  <c r="G85" i="59" s="1"/>
  <c r="J77" i="59"/>
  <c r="F74" i="59"/>
  <c r="F78" i="59" s="1"/>
  <c r="F73" i="59"/>
  <c r="G72" i="59"/>
  <c r="F72" i="59"/>
  <c r="H68" i="59"/>
  <c r="L68" i="59" s="1"/>
  <c r="K67" i="59"/>
  <c r="J67" i="59"/>
  <c r="J71" i="59" s="1"/>
  <c r="I67" i="59"/>
  <c r="I70" i="59" s="1"/>
  <c r="H67" i="59"/>
  <c r="H69" i="59" s="1"/>
  <c r="J63" i="59"/>
  <c r="F57" i="59"/>
  <c r="E57" i="59"/>
  <c r="F59" i="59" s="1"/>
  <c r="G52" i="59"/>
  <c r="L52" i="59" s="1"/>
  <c r="K51" i="59"/>
  <c r="J51" i="59"/>
  <c r="J56" i="59" s="1"/>
  <c r="I51" i="59"/>
  <c r="I56" i="59" s="1"/>
  <c r="H51" i="59"/>
  <c r="H56" i="59" s="1"/>
  <c r="G51" i="59"/>
  <c r="G55" i="59" s="1"/>
  <c r="D47" i="59"/>
  <c r="D46" i="59"/>
  <c r="D45" i="59"/>
  <c r="D44" i="59"/>
  <c r="D43" i="59"/>
  <c r="F41" i="59"/>
  <c r="E41" i="59"/>
  <c r="F43" i="59" s="1"/>
  <c r="G36" i="59"/>
  <c r="L36" i="59" s="1"/>
  <c r="K35" i="59"/>
  <c r="J35" i="59"/>
  <c r="J40" i="59" s="1"/>
  <c r="I35" i="59"/>
  <c r="I40" i="59" s="1"/>
  <c r="H35" i="59"/>
  <c r="H38" i="59" s="1"/>
  <c r="G35" i="59"/>
  <c r="G40" i="59" s="1"/>
  <c r="J168" i="59" l="1"/>
  <c r="H26" i="59" s="1"/>
  <c r="G38" i="59"/>
  <c r="I38" i="59" s="1"/>
  <c r="I39" i="59"/>
  <c r="G53" i="59"/>
  <c r="H53" i="59" s="1"/>
  <c r="I55" i="59"/>
  <c r="H114" i="59"/>
  <c r="I114" i="59" s="1"/>
  <c r="I116" i="59" s="1"/>
  <c r="G121" i="59" s="1"/>
  <c r="J121" i="59" s="1"/>
  <c r="G56" i="59"/>
  <c r="K56" i="59" s="1"/>
  <c r="H70" i="59"/>
  <c r="J70" i="59" s="1"/>
  <c r="J72" i="59" s="1"/>
  <c r="G76" i="59" s="1"/>
  <c r="J76" i="59" s="1"/>
  <c r="G98" i="59"/>
  <c r="H71" i="59"/>
  <c r="K71" i="59" s="1"/>
  <c r="K72" i="59" s="1"/>
  <c r="G99" i="59"/>
  <c r="I99" i="59" s="1"/>
  <c r="I101" i="59" s="1"/>
  <c r="G106" i="59" s="1"/>
  <c r="J106" i="59" s="1"/>
  <c r="H85" i="59"/>
  <c r="I85" i="59" s="1"/>
  <c r="I87" i="59" s="1"/>
  <c r="G91" i="59" s="1"/>
  <c r="J91" i="59" s="1"/>
  <c r="J130" i="59"/>
  <c r="J131" i="59" s="1"/>
  <c r="G137" i="59" s="1"/>
  <c r="J137" i="59" s="1"/>
  <c r="I69" i="59"/>
  <c r="J43" i="59"/>
  <c r="F48" i="59"/>
  <c r="L53" i="59"/>
  <c r="J160" i="59"/>
  <c r="H25" i="59"/>
  <c r="J89" i="59"/>
  <c r="F93" i="59"/>
  <c r="J134" i="59"/>
  <c r="F138" i="59"/>
  <c r="J145" i="59"/>
  <c r="J146" i="59" s="1"/>
  <c r="G151" i="59" s="1"/>
  <c r="J151" i="59" s="1"/>
  <c r="L38" i="59"/>
  <c r="F64" i="59"/>
  <c r="J59" i="59"/>
  <c r="G39" i="59"/>
  <c r="G54" i="59"/>
  <c r="H99" i="59"/>
  <c r="F108" i="59"/>
  <c r="F152" i="59"/>
  <c r="H54" i="59"/>
  <c r="G115" i="59"/>
  <c r="J115" i="59" s="1"/>
  <c r="J116" i="59" s="1"/>
  <c r="G122" i="59" s="1"/>
  <c r="J122" i="59" s="1"/>
  <c r="J119" i="59"/>
  <c r="H39" i="59"/>
  <c r="I71" i="59"/>
  <c r="G86" i="59"/>
  <c r="G144" i="59"/>
  <c r="I144" i="59" s="1"/>
  <c r="I146" i="59" s="1"/>
  <c r="G150" i="59" s="1"/>
  <c r="J150" i="59" s="1"/>
  <c r="J74" i="59"/>
  <c r="G128" i="59"/>
  <c r="H128" i="59" s="1"/>
  <c r="G37" i="59"/>
  <c r="H55" i="59"/>
  <c r="H40" i="59"/>
  <c r="K40" i="59" s="1"/>
  <c r="K41" i="59" s="1"/>
  <c r="G47" i="59" s="1"/>
  <c r="J47" i="59" s="1"/>
  <c r="J100" i="59"/>
  <c r="J101" i="59" s="1"/>
  <c r="G107" i="59" s="1"/>
  <c r="J107" i="59" s="1"/>
  <c r="G129" i="59"/>
  <c r="G84" i="59"/>
  <c r="H129" i="59"/>
  <c r="G113" i="59"/>
  <c r="H113" i="59" s="1"/>
  <c r="H27" i="59" l="1"/>
  <c r="H30" i="59" s="1"/>
  <c r="H32" i="59" s="1"/>
  <c r="H10" i="3" s="1"/>
  <c r="G57" i="59"/>
  <c r="G59" i="59" s="1"/>
  <c r="G101" i="59"/>
  <c r="G104" i="59" s="1"/>
  <c r="J152" i="59"/>
  <c r="H16" i="59" s="1"/>
  <c r="H98" i="59"/>
  <c r="H116" i="59"/>
  <c r="G120" i="59" s="1"/>
  <c r="J120" i="59" s="1"/>
  <c r="I41" i="59"/>
  <c r="G45" i="59" s="1"/>
  <c r="J45" i="59" s="1"/>
  <c r="K57" i="59"/>
  <c r="L56" i="59"/>
  <c r="K99" i="59"/>
  <c r="L71" i="59"/>
  <c r="H101" i="59"/>
  <c r="G105" i="59" s="1"/>
  <c r="J105" i="59" s="1"/>
  <c r="J108" i="59" s="1"/>
  <c r="H13" i="59" s="1"/>
  <c r="J55" i="59"/>
  <c r="J57" i="59" s="1"/>
  <c r="G62" i="59" s="1"/>
  <c r="J62" i="59" s="1"/>
  <c r="H57" i="59"/>
  <c r="G60" i="59" s="1"/>
  <c r="J60" i="59" s="1"/>
  <c r="L70" i="59"/>
  <c r="H72" i="59"/>
  <c r="G74" i="59" s="1"/>
  <c r="H131" i="59"/>
  <c r="G135" i="59" s="1"/>
  <c r="J135" i="59" s="1"/>
  <c r="L40" i="59"/>
  <c r="K100" i="59"/>
  <c r="G116" i="59"/>
  <c r="G119" i="59" s="1"/>
  <c r="G123" i="59" s="1"/>
  <c r="I72" i="59"/>
  <c r="G75" i="59" s="1"/>
  <c r="J75" i="59" s="1"/>
  <c r="J78" i="59" s="1"/>
  <c r="H11" i="59" s="1"/>
  <c r="I54" i="59"/>
  <c r="I57" i="59" s="1"/>
  <c r="G61" i="59" s="1"/>
  <c r="J61" i="59" s="1"/>
  <c r="K98" i="59"/>
  <c r="L69" i="59"/>
  <c r="J86" i="59"/>
  <c r="J87" i="59" s="1"/>
  <c r="G92" i="59" s="1"/>
  <c r="J92" i="59" s="1"/>
  <c r="J39" i="59"/>
  <c r="J41" i="59" s="1"/>
  <c r="G46" i="59" s="1"/>
  <c r="J46" i="59" s="1"/>
  <c r="H37" i="59"/>
  <c r="H41" i="59" s="1"/>
  <c r="G44" i="59" s="1"/>
  <c r="J44" i="59" s="1"/>
  <c r="G131" i="59"/>
  <c r="G134" i="59" s="1"/>
  <c r="G87" i="59"/>
  <c r="G89" i="59" s="1"/>
  <c r="H84" i="59"/>
  <c r="H87" i="59" s="1"/>
  <c r="G90" i="59" s="1"/>
  <c r="J90" i="59" s="1"/>
  <c r="G41" i="59"/>
  <c r="G43" i="59" s="1"/>
  <c r="K85" i="59"/>
  <c r="I129" i="59"/>
  <c r="I131" i="59" s="1"/>
  <c r="G136" i="59" s="1"/>
  <c r="J136" i="59" s="1"/>
  <c r="J123" i="59"/>
  <c r="H14" i="59" s="1"/>
  <c r="G146" i="59"/>
  <c r="G148" i="59" s="1"/>
  <c r="G152" i="59" s="1"/>
  <c r="L39" i="59" l="1"/>
  <c r="L55" i="59"/>
  <c r="G78" i="59"/>
  <c r="G11" i="59" s="1"/>
  <c r="J93" i="59"/>
  <c r="H12" i="59" s="1"/>
  <c r="L72" i="59"/>
  <c r="J138" i="59"/>
  <c r="H15" i="59" s="1"/>
  <c r="K84" i="59"/>
  <c r="G108" i="59"/>
  <c r="G13" i="59" s="1"/>
  <c r="J64" i="59"/>
  <c r="H10" i="59" s="1"/>
  <c r="J48" i="59"/>
  <c r="H9" i="59" s="1"/>
  <c r="G48" i="59"/>
  <c r="G9" i="59" s="1"/>
  <c r="K86" i="59"/>
  <c r="L37" i="59"/>
  <c r="L41" i="59" s="1"/>
  <c r="K101" i="59"/>
  <c r="G138" i="59"/>
  <c r="L54" i="59"/>
  <c r="L57" i="59" s="1"/>
  <c r="G64" i="59"/>
  <c r="G10" i="59" s="1"/>
  <c r="G93" i="59"/>
  <c r="G12" i="59" s="1"/>
  <c r="K87" i="59" l="1"/>
  <c r="H17" i="59"/>
  <c r="H20" i="59" s="1"/>
  <c r="G17" i="59"/>
  <c r="G20" i="59" s="1"/>
  <c r="G22" i="59" s="1"/>
  <c r="C33" i="62" l="1"/>
  <c r="H33" i="62" s="1"/>
  <c r="H32" i="62"/>
  <c r="H34" i="62" s="1"/>
  <c r="H36" i="62" s="1"/>
  <c r="H25" i="3" s="1"/>
  <c r="Q19" i="2" l="1"/>
  <c r="Q20" i="2" s="1"/>
  <c r="J70" i="43" l="1"/>
  <c r="D70" i="43"/>
  <c r="J65" i="43"/>
  <c r="D65" i="43"/>
  <c r="J59" i="43"/>
  <c r="D59" i="43"/>
  <c r="J53" i="43"/>
  <c r="D53" i="43"/>
  <c r="J47" i="43"/>
  <c r="D47" i="43"/>
  <c r="J41" i="43"/>
  <c r="D41" i="43"/>
  <c r="J35" i="43"/>
  <c r="D35" i="43"/>
  <c r="J29" i="43"/>
  <c r="D29" i="43"/>
  <c r="J22" i="43"/>
  <c r="F22" i="43"/>
  <c r="F29" i="43" s="1"/>
  <c r="D22" i="43"/>
  <c r="F21" i="43"/>
  <c r="F28" i="43" s="1"/>
  <c r="F20" i="43"/>
  <c r="F27" i="43" s="1"/>
  <c r="F19" i="43"/>
  <c r="F26" i="43" s="1"/>
  <c r="J15" i="43"/>
  <c r="D15" i="43"/>
  <c r="F15" i="45"/>
  <c r="D15" i="45"/>
  <c r="H15" i="45" s="1"/>
  <c r="F14" i="45"/>
  <c r="D14" i="45"/>
  <c r="H14" i="45" s="1"/>
  <c r="F13" i="45"/>
  <c r="D13" i="45"/>
  <c r="H13" i="45" s="1"/>
  <c r="F12" i="45"/>
  <c r="D12" i="45"/>
  <c r="H12" i="45" s="1"/>
  <c r="F11" i="45"/>
  <c r="F19" i="45" s="1"/>
  <c r="D11" i="45"/>
  <c r="D19" i="45" s="1"/>
  <c r="O70" i="2"/>
  <c r="O64" i="2"/>
  <c r="O65" i="2"/>
  <c r="O58" i="2"/>
  <c r="O59" i="2"/>
  <c r="O52" i="2"/>
  <c r="O53" i="2"/>
  <c r="O46" i="2"/>
  <c r="O47" i="2"/>
  <c r="O40" i="2"/>
  <c r="O41" i="2"/>
  <c r="O34" i="2"/>
  <c r="O35" i="2"/>
  <c r="O27" i="2"/>
  <c r="O28" i="2"/>
  <c r="O29" i="2"/>
  <c r="O30" i="2"/>
  <c r="O20" i="2"/>
  <c r="O21" i="2"/>
  <c r="O22" i="2"/>
  <c r="O74" i="2"/>
  <c r="O73" i="2"/>
  <c r="O69" i="2"/>
  <c r="O68" i="2"/>
  <c r="O63" i="2"/>
  <c r="O62" i="2"/>
  <c r="O57" i="2"/>
  <c r="O56" i="2"/>
  <c r="O51" i="2"/>
  <c r="O50" i="2"/>
  <c r="O45" i="2"/>
  <c r="O44" i="2"/>
  <c r="O39" i="2"/>
  <c r="O38" i="2"/>
  <c r="O33" i="2"/>
  <c r="O32" i="2"/>
  <c r="O26" i="2"/>
  <c r="O25" i="2"/>
  <c r="O19" i="2"/>
  <c r="O18" i="2"/>
  <c r="Q13" i="2"/>
  <c r="O13" i="2"/>
  <c r="O14" i="2"/>
  <c r="O15" i="2"/>
  <c r="O12" i="2"/>
  <c r="O11" i="2"/>
  <c r="Q22" i="2" l="1"/>
  <c r="Q21" i="2"/>
  <c r="F33" i="43"/>
  <c r="F34" i="43"/>
  <c r="F35" i="43"/>
  <c r="H11" i="45"/>
  <c r="D17" i="45"/>
  <c r="F17" i="45"/>
  <c r="F41" i="43" l="1"/>
  <c r="F40" i="43"/>
  <c r="F39" i="43"/>
  <c r="H19" i="45"/>
  <c r="H17" i="45"/>
  <c r="F46" i="43" l="1"/>
  <c r="F45" i="43"/>
  <c r="F47" i="43"/>
  <c r="F51" i="43" l="1"/>
  <c r="F53" i="43"/>
  <c r="F52" i="43"/>
  <c r="F59" i="43" l="1"/>
  <c r="F57" i="43"/>
  <c r="F58" i="43"/>
  <c r="F64" i="43" l="1"/>
  <c r="F63" i="43"/>
  <c r="F65" i="43"/>
  <c r="F70" i="43" l="1"/>
  <c r="F69" i="43"/>
  <c r="J70" i="2" l="1"/>
  <c r="J65" i="2"/>
  <c r="J59" i="2"/>
  <c r="J53" i="2"/>
  <c r="J47" i="2"/>
  <c r="J41" i="2"/>
  <c r="J35" i="2"/>
  <c r="J29" i="2"/>
  <c r="J22" i="2"/>
  <c r="J15" i="2"/>
  <c r="D70" i="2"/>
  <c r="D65" i="2"/>
  <c r="D59" i="2"/>
  <c r="D53" i="2"/>
  <c r="D47" i="2"/>
  <c r="D41" i="2"/>
  <c r="D35" i="2"/>
  <c r="D29" i="2"/>
  <c r="F22" i="2"/>
  <c r="F29" i="2" s="1"/>
  <c r="F35" i="2" s="1"/>
  <c r="F41" i="2" s="1"/>
  <c r="F47" i="2" s="1"/>
  <c r="F53" i="2" s="1"/>
  <c r="F59" i="2" s="1"/>
  <c r="F65" i="2" s="1"/>
  <c r="F70" i="2" s="1"/>
  <c r="D22" i="2"/>
  <c r="F21" i="2"/>
  <c r="F28" i="2" s="1"/>
  <c r="F34" i="2" s="1"/>
  <c r="F40" i="2" s="1"/>
  <c r="F46" i="2" s="1"/>
  <c r="F52" i="2" s="1"/>
  <c r="F58" i="2" s="1"/>
  <c r="F64" i="2" s="1"/>
  <c r="F69" i="2" s="1"/>
  <c r="F20" i="2"/>
  <c r="F27" i="2" s="1"/>
  <c r="F33" i="2" s="1"/>
  <c r="F39" i="2" s="1"/>
  <c r="F45" i="2" s="1"/>
  <c r="F51" i="2" s="1"/>
  <c r="F57" i="2" s="1"/>
  <c r="F63" i="2" s="1"/>
  <c r="F19" i="2"/>
  <c r="F26" i="2" s="1"/>
  <c r="D15" i="2"/>
  <c r="G19" i="25"/>
  <c r="G26" i="25" s="1"/>
  <c r="G32" i="25" s="1"/>
  <c r="G38" i="25" s="1"/>
  <c r="G44" i="25" s="1"/>
  <c r="G50" i="25" s="1"/>
  <c r="G56" i="25" s="1"/>
  <c r="G62" i="25" s="1"/>
  <c r="G67" i="25" s="1"/>
  <c r="G18" i="25"/>
  <c r="G25" i="25" s="1"/>
  <c r="G31" i="25" s="1"/>
  <c r="G37" i="25" s="1"/>
  <c r="G43" i="25" s="1"/>
  <c r="G49" i="25" s="1"/>
  <c r="G55" i="25" s="1"/>
  <c r="G61" i="25" s="1"/>
  <c r="G66" i="25" s="1"/>
  <c r="G17" i="25"/>
  <c r="G24" i="25" s="1"/>
  <c r="G30" i="25" s="1"/>
  <c r="G36" i="25" s="1"/>
  <c r="G42" i="25" s="1"/>
  <c r="G48" i="25" s="1"/>
  <c r="G54" i="25" s="1"/>
  <c r="G60" i="25" s="1"/>
  <c r="G16" i="25"/>
  <c r="G23" i="25" s="1"/>
  <c r="E67" i="25"/>
  <c r="E62" i="25"/>
  <c r="E56" i="25"/>
  <c r="E50" i="25"/>
  <c r="E44" i="25"/>
  <c r="E38" i="25"/>
  <c r="E32" i="25"/>
  <c r="E26" i="25"/>
  <c r="E19" i="25"/>
  <c r="E12" i="25"/>
  <c r="O23" i="56" l="1"/>
  <c r="O21" i="56"/>
  <c r="O17" i="56"/>
  <c r="O18" i="56"/>
  <c r="O19" i="56"/>
  <c r="O20" i="56"/>
  <c r="O16" i="56"/>
  <c r="D43" i="23"/>
  <c r="H26" i="3" s="1"/>
  <c r="D38" i="23"/>
  <c r="D42" i="23"/>
  <c r="C42" i="23"/>
  <c r="D41" i="23"/>
  <c r="C41" i="23"/>
  <c r="C43" i="23" s="1"/>
  <c r="H27" i="3" s="1"/>
  <c r="C16" i="23"/>
  <c r="C22" i="23" s="1"/>
  <c r="C36" i="23"/>
  <c r="C27" i="23"/>
  <c r="B37" i="23" l="1"/>
  <c r="N47" i="3" l="1"/>
  <c r="G7" i="57" l="1"/>
  <c r="D12" i="5"/>
  <c r="F12" i="5"/>
  <c r="D13" i="5"/>
  <c r="F13" i="5"/>
  <c r="D14" i="5"/>
  <c r="H14" i="5" s="1"/>
  <c r="F14" i="5"/>
  <c r="D15" i="5"/>
  <c r="F15" i="5"/>
  <c r="F11" i="5"/>
  <c r="D11" i="5"/>
  <c r="D17" i="5" s="1"/>
  <c r="H12" i="5"/>
  <c r="H13" i="5"/>
  <c r="H54" i="56"/>
  <c r="G54" i="56"/>
  <c r="F54" i="56"/>
  <c r="D54" i="56"/>
  <c r="B54" i="56"/>
  <c r="L52" i="56"/>
  <c r="K52" i="56"/>
  <c r="J52" i="56"/>
  <c r="M52" i="56" s="1"/>
  <c r="I52" i="56"/>
  <c r="E52" i="56"/>
  <c r="L51" i="56"/>
  <c r="J51" i="56"/>
  <c r="I51" i="56"/>
  <c r="E51" i="56"/>
  <c r="C51" i="56"/>
  <c r="K51" i="56" s="1"/>
  <c r="M51" i="56" s="1"/>
  <c r="L50" i="56"/>
  <c r="J50" i="56"/>
  <c r="I50" i="56"/>
  <c r="C50" i="56"/>
  <c r="E50" i="56" s="1"/>
  <c r="L49" i="56"/>
  <c r="K49" i="56"/>
  <c r="J49" i="56"/>
  <c r="M49" i="56" s="1"/>
  <c r="I49" i="56"/>
  <c r="E49" i="56"/>
  <c r="C49" i="56"/>
  <c r="L48" i="56"/>
  <c r="K48" i="56"/>
  <c r="J48" i="56"/>
  <c r="M48" i="56" s="1"/>
  <c r="I48" i="56"/>
  <c r="C48" i="56"/>
  <c r="E48" i="56" s="1"/>
  <c r="L47" i="56"/>
  <c r="J47" i="56"/>
  <c r="I47" i="56"/>
  <c r="C47" i="56"/>
  <c r="K47" i="56" s="1"/>
  <c r="M47" i="56" s="1"/>
  <c r="L46" i="56"/>
  <c r="K46" i="56"/>
  <c r="M46" i="56" s="1"/>
  <c r="J46" i="56"/>
  <c r="I46" i="56"/>
  <c r="E46" i="56"/>
  <c r="C46" i="56"/>
  <c r="L45" i="56"/>
  <c r="J45" i="56"/>
  <c r="I45" i="56"/>
  <c r="C45" i="56"/>
  <c r="K45" i="56" s="1"/>
  <c r="M44" i="56"/>
  <c r="L44" i="56"/>
  <c r="K44" i="56"/>
  <c r="J44" i="56"/>
  <c r="I44" i="56"/>
  <c r="C44" i="56"/>
  <c r="E44" i="56" s="1"/>
  <c r="L43" i="56"/>
  <c r="K43" i="56"/>
  <c r="J43" i="56"/>
  <c r="M43" i="56" s="1"/>
  <c r="I43" i="56"/>
  <c r="E43" i="56"/>
  <c r="C43" i="56"/>
  <c r="L42" i="56"/>
  <c r="J42" i="56"/>
  <c r="I42" i="56"/>
  <c r="C42" i="56"/>
  <c r="K42" i="56" s="1"/>
  <c r="M42" i="56" s="1"/>
  <c r="L41" i="56"/>
  <c r="K41" i="56"/>
  <c r="J41" i="56"/>
  <c r="M41" i="56" s="1"/>
  <c r="I41" i="56"/>
  <c r="C41" i="56"/>
  <c r="E41" i="56" s="1"/>
  <c r="L40" i="56"/>
  <c r="J40" i="56"/>
  <c r="I40" i="56"/>
  <c r="C40" i="56"/>
  <c r="K40" i="56" s="1"/>
  <c r="M40" i="56" s="1"/>
  <c r="L39" i="56"/>
  <c r="J39" i="56"/>
  <c r="I39" i="56"/>
  <c r="E39" i="56"/>
  <c r="C39" i="56"/>
  <c r="K39" i="56" s="1"/>
  <c r="M39" i="56" s="1"/>
  <c r="L38" i="56"/>
  <c r="J38" i="56"/>
  <c r="I38" i="56"/>
  <c r="C38" i="56"/>
  <c r="E38" i="56" s="1"/>
  <c r="L37" i="56"/>
  <c r="K37" i="56"/>
  <c r="J37" i="56"/>
  <c r="M37" i="56" s="1"/>
  <c r="I37" i="56"/>
  <c r="C37" i="56"/>
  <c r="E37" i="56" s="1"/>
  <c r="L36" i="56"/>
  <c r="K36" i="56"/>
  <c r="J36" i="56"/>
  <c r="M36" i="56" s="1"/>
  <c r="I36" i="56"/>
  <c r="C36" i="56"/>
  <c r="E36" i="56" s="1"/>
  <c r="L35" i="56"/>
  <c r="J35" i="56"/>
  <c r="I35" i="56"/>
  <c r="C35" i="56"/>
  <c r="K35" i="56" s="1"/>
  <c r="M35" i="56" s="1"/>
  <c r="L34" i="56"/>
  <c r="K34" i="56"/>
  <c r="M34" i="56" s="1"/>
  <c r="J34" i="56"/>
  <c r="I34" i="56"/>
  <c r="E34" i="56"/>
  <c r="C34" i="56"/>
  <c r="L33" i="56"/>
  <c r="J33" i="56"/>
  <c r="I33" i="56"/>
  <c r="C33" i="56"/>
  <c r="K33" i="56" s="1"/>
  <c r="M32" i="56"/>
  <c r="L32" i="56"/>
  <c r="K32" i="56"/>
  <c r="J32" i="56"/>
  <c r="I32" i="56"/>
  <c r="C32" i="56"/>
  <c r="E32" i="56" s="1"/>
  <c r="L31" i="56"/>
  <c r="K31" i="56"/>
  <c r="J31" i="56"/>
  <c r="M31" i="56" s="1"/>
  <c r="I31" i="56"/>
  <c r="E31" i="56"/>
  <c r="C31" i="56"/>
  <c r="L30" i="56"/>
  <c r="J30" i="56"/>
  <c r="I30" i="56"/>
  <c r="C30" i="56"/>
  <c r="K30" i="56" s="1"/>
  <c r="M30" i="56" s="1"/>
  <c r="L29" i="56"/>
  <c r="K29" i="56"/>
  <c r="J29" i="56"/>
  <c r="M29" i="56" s="1"/>
  <c r="I29" i="56"/>
  <c r="C29" i="56"/>
  <c r="E29" i="56" s="1"/>
  <c r="L28" i="56"/>
  <c r="J28" i="56"/>
  <c r="I28" i="56"/>
  <c r="C28" i="56"/>
  <c r="K28" i="56" s="1"/>
  <c r="L27" i="56"/>
  <c r="M27" i="56" s="1"/>
  <c r="K27" i="56"/>
  <c r="J27" i="56"/>
  <c r="I27" i="56"/>
  <c r="E27" i="56"/>
  <c r="C27" i="56"/>
  <c r="L26" i="56"/>
  <c r="J26" i="56"/>
  <c r="I26" i="56"/>
  <c r="C26" i="56"/>
  <c r="E26" i="56" s="1"/>
  <c r="L25" i="56"/>
  <c r="K25" i="56"/>
  <c r="M25" i="56" s="1"/>
  <c r="J25" i="56"/>
  <c r="G25" i="56"/>
  <c r="I25" i="56" s="1"/>
  <c r="C25" i="56"/>
  <c r="E25" i="56" s="1"/>
  <c r="L24" i="56"/>
  <c r="K24" i="56"/>
  <c r="J24" i="56"/>
  <c r="M24" i="56" s="1"/>
  <c r="G24" i="56"/>
  <c r="I24" i="56" s="1"/>
  <c r="E24" i="56"/>
  <c r="C24" i="56"/>
  <c r="L23" i="56"/>
  <c r="J23" i="56"/>
  <c r="G23" i="56"/>
  <c r="I23" i="56" s="1"/>
  <c r="C23" i="56"/>
  <c r="E23" i="56" s="1"/>
  <c r="L22" i="56"/>
  <c r="K22" i="56"/>
  <c r="M22" i="56" s="1"/>
  <c r="J22" i="56"/>
  <c r="G22" i="56"/>
  <c r="I22" i="56" s="1"/>
  <c r="C22" i="56"/>
  <c r="E22" i="56" s="1"/>
  <c r="L21" i="56"/>
  <c r="K21" i="56"/>
  <c r="J21" i="56"/>
  <c r="M21" i="56" s="1"/>
  <c r="G21" i="56"/>
  <c r="I21" i="56" s="1"/>
  <c r="E21" i="56"/>
  <c r="C21" i="56"/>
  <c r="L20" i="56"/>
  <c r="J20" i="56"/>
  <c r="G20" i="56"/>
  <c r="I20" i="56" s="1"/>
  <c r="C20" i="56"/>
  <c r="E20" i="56" s="1"/>
  <c r="L19" i="56"/>
  <c r="K19" i="56"/>
  <c r="M19" i="56" s="1"/>
  <c r="J19" i="56"/>
  <c r="G19" i="56"/>
  <c r="I19" i="56" s="1"/>
  <c r="C19" i="56"/>
  <c r="E19" i="56" s="1"/>
  <c r="L18" i="56"/>
  <c r="K18" i="56"/>
  <c r="J18" i="56"/>
  <c r="M18" i="56" s="1"/>
  <c r="G18" i="56"/>
  <c r="I18" i="56" s="1"/>
  <c r="E18" i="56"/>
  <c r="C18" i="56"/>
  <c r="L17" i="56"/>
  <c r="J17" i="56"/>
  <c r="M17" i="56" s="1"/>
  <c r="I17" i="56"/>
  <c r="G17" i="56"/>
  <c r="C17" i="56"/>
  <c r="K17" i="56" s="1"/>
  <c r="L16" i="56"/>
  <c r="K16" i="56"/>
  <c r="M16" i="56" s="1"/>
  <c r="J16" i="56"/>
  <c r="G16" i="56"/>
  <c r="I16" i="56" s="1"/>
  <c r="C16" i="56"/>
  <c r="E16" i="56" s="1"/>
  <c r="L15" i="56"/>
  <c r="K15" i="56"/>
  <c r="J15" i="56"/>
  <c r="M15" i="56" s="1"/>
  <c r="G15" i="56"/>
  <c r="I15" i="56" s="1"/>
  <c r="E15" i="56"/>
  <c r="C15" i="56"/>
  <c r="L14" i="56"/>
  <c r="L54" i="56" s="1"/>
  <c r="L55" i="56" s="1"/>
  <c r="J14" i="56"/>
  <c r="I14" i="56"/>
  <c r="G14" i="56"/>
  <c r="C14" i="56"/>
  <c r="C54" i="56" s="1"/>
  <c r="J11" i="56"/>
  <c r="H15" i="5" l="1"/>
  <c r="H11" i="5"/>
  <c r="D19" i="5"/>
  <c r="F19" i="5"/>
  <c r="I54" i="56"/>
  <c r="M33" i="56"/>
  <c r="M45" i="56"/>
  <c r="M26" i="56"/>
  <c r="M28" i="56"/>
  <c r="E17" i="56"/>
  <c r="E33" i="56"/>
  <c r="E45" i="56"/>
  <c r="E28" i="56"/>
  <c r="E40" i="56"/>
  <c r="K26" i="56"/>
  <c r="E35" i="56"/>
  <c r="K38" i="56"/>
  <c r="M38" i="56" s="1"/>
  <c r="E47" i="56"/>
  <c r="K50" i="56"/>
  <c r="M50" i="56" s="1"/>
  <c r="J54" i="56"/>
  <c r="J55" i="56" s="1"/>
  <c r="K14" i="56"/>
  <c r="M14" i="56" s="1"/>
  <c r="K20" i="56"/>
  <c r="M20" i="56" s="1"/>
  <c r="K23" i="56"/>
  <c r="M23" i="56" s="1"/>
  <c r="E30" i="56"/>
  <c r="E42" i="56"/>
  <c r="E14" i="56"/>
  <c r="F17" i="5"/>
  <c r="M54" i="56" l="1"/>
  <c r="E54" i="56"/>
  <c r="K54" i="56"/>
  <c r="K55" i="56" s="1"/>
  <c r="H19" i="5"/>
  <c r="L51" i="3" s="1"/>
  <c r="H17" i="5"/>
  <c r="M55" i="56" l="1"/>
  <c r="L26" i="3" l="1"/>
  <c r="F41" i="3"/>
  <c r="F46" i="3" s="1"/>
  <c r="L15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2" i="3"/>
  <c r="L52" i="3"/>
  <c r="L16" i="3"/>
  <c r="L14" i="3"/>
  <c r="L13" i="3"/>
  <c r="F11" i="3"/>
  <c r="F18" i="3" s="1"/>
  <c r="L10" i="3"/>
  <c r="L17" i="3" l="1"/>
  <c r="L54" i="3" s="1"/>
  <c r="F47" i="3"/>
  <c r="G8" i="57" l="1"/>
  <c r="G10" i="57" s="1"/>
  <c r="H45" i="3" s="1"/>
  <c r="H41" i="3" l="1"/>
  <c r="H46" i="3" s="1"/>
  <c r="L25" i="3"/>
  <c r="L41" i="3" s="1"/>
  <c r="L45" i="3"/>
  <c r="L46" i="3" l="1"/>
  <c r="L50" i="3" s="1"/>
  <c r="L53" i="3" s="1"/>
  <c r="L59" i="3" s="1"/>
  <c r="N23" i="66" s="1"/>
  <c r="B16" i="23" l="1"/>
  <c r="C21" i="23" l="1"/>
  <c r="D36" i="23" s="1"/>
  <c r="H22" i="59" l="1"/>
  <c r="H9" i="3" s="1"/>
  <c r="H11" i="3" l="1"/>
  <c r="L9" i="3"/>
  <c r="L11" i="3" l="1"/>
  <c r="H21" i="66"/>
  <c r="H18" i="3"/>
  <c r="H47" i="3" s="1"/>
  <c r="L60" i="3" l="1"/>
  <c r="L61" i="3" s="1"/>
  <c r="L18" i="3"/>
  <c r="L47" i="3" s="1"/>
  <c r="L63" i="3" l="1"/>
  <c r="O8" i="2" s="1"/>
  <c r="P45" i="2" l="1"/>
  <c r="R45" i="2" s="1"/>
  <c r="L45" i="2" s="1"/>
  <c r="Q16" i="2"/>
  <c r="P40" i="2"/>
  <c r="R40" i="2" s="1"/>
  <c r="P64" i="2"/>
  <c r="R64" i="2" s="1"/>
  <c r="L64" i="2" s="1"/>
  <c r="P19" i="2"/>
  <c r="R19" i="2" s="1"/>
  <c r="L19" i="2" s="1"/>
  <c r="P47" i="2"/>
  <c r="R47" i="2" s="1"/>
  <c r="L47" i="2" s="1"/>
  <c r="P69" i="2"/>
  <c r="R69" i="2" s="1"/>
  <c r="L69" i="2" s="1"/>
  <c r="P15" i="2"/>
  <c r="R15" i="2" s="1"/>
  <c r="L15" i="2" s="1"/>
  <c r="P26" i="2"/>
  <c r="R26" i="2" s="1"/>
  <c r="L26" i="2" s="1"/>
  <c r="P32" i="2"/>
  <c r="R32" i="2" s="1"/>
  <c r="L32" i="2" s="1"/>
  <c r="L32" i="43" s="1"/>
  <c r="P58" i="2"/>
  <c r="R58" i="2" s="1"/>
  <c r="L58" i="2" s="1"/>
  <c r="P35" i="2"/>
  <c r="R35" i="2" s="1"/>
  <c r="P29" i="2"/>
  <c r="R29" i="2" s="1"/>
  <c r="P11" i="2"/>
  <c r="R11" i="2" s="1"/>
  <c r="L11" i="2" s="1"/>
  <c r="P68" i="2"/>
  <c r="R68" i="2" s="1"/>
  <c r="L68" i="2" s="1"/>
  <c r="P80" i="2"/>
  <c r="R80" i="2" s="1"/>
  <c r="L80" i="2" s="1"/>
  <c r="L80" i="43" s="1"/>
  <c r="P30" i="2"/>
  <c r="R30" i="2" s="1"/>
  <c r="P41" i="2"/>
  <c r="R41" i="2" s="1"/>
  <c r="P73" i="2"/>
  <c r="R73" i="2" s="1"/>
  <c r="L73" i="2" s="1"/>
  <c r="P28" i="2"/>
  <c r="R28" i="2" s="1"/>
  <c r="P52" i="2"/>
  <c r="R52" i="2" s="1"/>
  <c r="L52" i="2" s="1"/>
  <c r="P13" i="2"/>
  <c r="R13" i="2" s="1"/>
  <c r="L13" i="2" s="1"/>
  <c r="P44" i="2"/>
  <c r="R44" i="2" s="1"/>
  <c r="L44" i="2" s="1"/>
  <c r="P12" i="2"/>
  <c r="R12" i="2" s="1"/>
  <c r="L12" i="2" s="1"/>
  <c r="P56" i="2"/>
  <c r="R56" i="2" s="1"/>
  <c r="L56" i="2" s="1"/>
  <c r="P63" i="2"/>
  <c r="R63" i="2" s="1"/>
  <c r="L63" i="2" s="1"/>
  <c r="P77" i="2"/>
  <c r="R77" i="2" s="1"/>
  <c r="L77" i="2" s="1"/>
  <c r="L77" i="43" s="1"/>
  <c r="P33" i="2"/>
  <c r="R33" i="2" s="1"/>
  <c r="L33" i="2" s="1"/>
  <c r="P18" i="2"/>
  <c r="R18" i="2" s="1"/>
  <c r="L18" i="2" s="1"/>
  <c r="P57" i="2"/>
  <c r="R57" i="2" s="1"/>
  <c r="L57" i="2" s="1"/>
  <c r="P59" i="2"/>
  <c r="R59" i="2" s="1"/>
  <c r="L59" i="2" s="1"/>
  <c r="P53" i="2"/>
  <c r="R53" i="2" s="1"/>
  <c r="L53" i="2" s="1"/>
  <c r="P51" i="2"/>
  <c r="R51" i="2" s="1"/>
  <c r="L51" i="2" s="1"/>
  <c r="P27" i="2"/>
  <c r="R27" i="2" s="1"/>
  <c r="P34" i="2"/>
  <c r="R34" i="2" s="1"/>
  <c r="P39" i="2"/>
  <c r="R39" i="2" s="1"/>
  <c r="L39" i="2" s="1"/>
  <c r="H92" i="66" s="1"/>
  <c r="J92" i="66" s="1"/>
  <c r="P50" i="2"/>
  <c r="R50" i="2" s="1"/>
  <c r="L50" i="2" s="1"/>
  <c r="P79" i="2"/>
  <c r="R79" i="2" s="1"/>
  <c r="L79" i="2" s="1"/>
  <c r="L79" i="43" s="1"/>
  <c r="P46" i="2"/>
  <c r="R46" i="2" s="1"/>
  <c r="L46" i="2" s="1"/>
  <c r="P38" i="2"/>
  <c r="R38" i="2" s="1"/>
  <c r="L38" i="2" s="1"/>
  <c r="P65" i="2"/>
  <c r="R65" i="2" s="1"/>
  <c r="L65" i="2" s="1"/>
  <c r="P21" i="2"/>
  <c r="R21" i="2" s="1"/>
  <c r="L21" i="2" s="1"/>
  <c r="P70" i="2"/>
  <c r="R70" i="2" s="1"/>
  <c r="L70" i="2" s="1"/>
  <c r="P20" i="2"/>
  <c r="R20" i="2" s="1"/>
  <c r="L20" i="2" s="1"/>
  <c r="P76" i="2"/>
  <c r="R76" i="2" s="1"/>
  <c r="L76" i="2" s="1"/>
  <c r="L76" i="43" s="1"/>
  <c r="P78" i="2"/>
  <c r="R78" i="2" s="1"/>
  <c r="L78" i="2" s="1"/>
  <c r="L78" i="43" s="1"/>
  <c r="P22" i="2"/>
  <c r="R22" i="2" s="1"/>
  <c r="L22" i="2" s="1"/>
  <c r="P14" i="2"/>
  <c r="R14" i="2" s="1"/>
  <c r="L14" i="2" s="1"/>
  <c r="P62" i="2"/>
  <c r="R62" i="2" s="1"/>
  <c r="L62" i="2" s="1"/>
  <c r="P75" i="2"/>
  <c r="R75" i="2" s="1"/>
  <c r="L75" i="2" s="1"/>
  <c r="L75" i="43" s="1"/>
  <c r="P25" i="2"/>
  <c r="R25" i="2" s="1"/>
  <c r="L25" i="2" s="1"/>
  <c r="P74" i="2"/>
  <c r="R74" i="2" s="1"/>
  <c r="L74" i="2" s="1"/>
  <c r="L74" i="43" s="1"/>
  <c r="L69" i="43"/>
  <c r="O69" i="43" s="1"/>
  <c r="L19" i="43"/>
  <c r="O19" i="43" s="1"/>
  <c r="L68" i="43"/>
  <c r="O68" i="43" s="1"/>
  <c r="L53" i="43"/>
  <c r="H124" i="66"/>
  <c r="J124" i="66" s="1"/>
  <c r="L52" i="43"/>
  <c r="H123" i="66"/>
  <c r="J123" i="66" s="1"/>
  <c r="H91" i="66"/>
  <c r="J91" i="66" s="1"/>
  <c r="L38" i="43"/>
  <c r="L33" i="43"/>
  <c r="H76" i="66"/>
  <c r="J76" i="66" s="1"/>
  <c r="L44" i="43"/>
  <c r="H137" i="66"/>
  <c r="J137" i="66" s="1"/>
  <c r="L57" i="43"/>
  <c r="L64" i="43"/>
  <c r="H152" i="66"/>
  <c r="J152" i="66" s="1"/>
  <c r="L45" i="43"/>
  <c r="H107" i="66"/>
  <c r="J107" i="66" s="1"/>
  <c r="H121" i="66"/>
  <c r="J121" i="66" s="1"/>
  <c r="L50" i="43"/>
  <c r="L63" i="43"/>
  <c r="H151" i="66"/>
  <c r="J151" i="66" s="1"/>
  <c r="H138" i="66"/>
  <c r="J138" i="66" s="1"/>
  <c r="L58" i="43"/>
  <c r="L28" i="2"/>
  <c r="L21" i="43"/>
  <c r="O21" i="43" s="1"/>
  <c r="L47" i="43"/>
  <c r="H109" i="66"/>
  <c r="J109" i="66" s="1"/>
  <c r="L20" i="43"/>
  <c r="O20" i="43" s="1"/>
  <c r="L27" i="2"/>
  <c r="H150" i="66"/>
  <c r="J150" i="66" s="1"/>
  <c r="L62" i="43"/>
  <c r="H136" i="66"/>
  <c r="J136" i="66" s="1"/>
  <c r="L56" i="43"/>
  <c r="L15" i="43"/>
  <c r="G13" i="67" s="1"/>
  <c r="Y9" i="67" s="1"/>
  <c r="H48" i="66"/>
  <c r="J48" i="66" s="1"/>
  <c r="L65" i="43"/>
  <c r="L11" i="43"/>
  <c r="G9" i="67" s="1"/>
  <c r="U9" i="67" s="1"/>
  <c r="U21" i="67" s="1"/>
  <c r="H44" i="66"/>
  <c r="J44" i="66" s="1"/>
  <c r="H166" i="66"/>
  <c r="J166" i="66" s="1"/>
  <c r="J167" i="66" s="1"/>
  <c r="J170" i="66" s="1"/>
  <c r="H26" i="66" s="1"/>
  <c r="L26" i="43" l="1"/>
  <c r="L51" i="43"/>
  <c r="H122" i="66"/>
  <c r="J122" i="66" s="1"/>
  <c r="H61" i="66"/>
  <c r="J61" i="66" s="1"/>
  <c r="L18" i="43"/>
  <c r="O18" i="43" s="1"/>
  <c r="H46" i="66"/>
  <c r="J46" i="66" s="1"/>
  <c r="L13" i="43"/>
  <c r="G11" i="67" s="1"/>
  <c r="W9" i="67" s="1"/>
  <c r="H75" i="66"/>
  <c r="J75" i="66" s="1"/>
  <c r="L29" i="2"/>
  <c r="H45" i="66"/>
  <c r="J45" i="66" s="1"/>
  <c r="L12" i="43"/>
  <c r="G10" i="67" s="1"/>
  <c r="V9" i="67" s="1"/>
  <c r="V22" i="67" s="1"/>
  <c r="L14" i="43"/>
  <c r="G12" i="67" s="1"/>
  <c r="X9" i="67" s="1"/>
  <c r="X28" i="67" s="1"/>
  <c r="H47" i="66"/>
  <c r="J47" i="66" s="1"/>
  <c r="L39" i="43"/>
  <c r="O39" i="43" s="1"/>
  <c r="H108" i="66"/>
  <c r="J108" i="66" s="1"/>
  <c r="L46" i="43"/>
  <c r="O46" i="43" s="1"/>
  <c r="H60" i="66"/>
  <c r="J60" i="66" s="1"/>
  <c r="L25" i="43"/>
  <c r="G9" i="68" s="1"/>
  <c r="T9" i="68" s="1"/>
  <c r="T21" i="68" s="1"/>
  <c r="H153" i="66"/>
  <c r="J153" i="66" s="1"/>
  <c r="J154" i="66" s="1"/>
  <c r="H16" i="66" s="1"/>
  <c r="H106" i="66"/>
  <c r="J106" i="66" s="1"/>
  <c r="L22" i="43"/>
  <c r="O22" i="43" s="1"/>
  <c r="L59" i="43"/>
  <c r="O59" i="43" s="1"/>
  <c r="O78" i="43"/>
  <c r="F92" i="38"/>
  <c r="H92" i="38" s="1"/>
  <c r="J92" i="38" s="1"/>
  <c r="F90" i="38"/>
  <c r="H90" i="38" s="1"/>
  <c r="J90" i="38" s="1"/>
  <c r="O76" i="43"/>
  <c r="H139" i="66"/>
  <c r="J139" i="66" s="1"/>
  <c r="J140" i="66" s="1"/>
  <c r="H15" i="66" s="1"/>
  <c r="L70" i="43"/>
  <c r="O70" i="43" s="1"/>
  <c r="F88" i="38"/>
  <c r="H88" i="38" s="1"/>
  <c r="J88" i="38" s="1"/>
  <c r="O74" i="43"/>
  <c r="F94" i="38"/>
  <c r="H94" i="38" s="1"/>
  <c r="J94" i="38" s="1"/>
  <c r="O80" i="43"/>
  <c r="H158" i="66"/>
  <c r="J158" i="66" s="1"/>
  <c r="J159" i="66" s="1"/>
  <c r="H25" i="66" s="1"/>
  <c r="H27" i="66" s="1"/>
  <c r="H30" i="66" s="1"/>
  <c r="O77" i="43"/>
  <c r="F91" i="38"/>
  <c r="H91" i="38" s="1"/>
  <c r="J91" i="38" s="1"/>
  <c r="L73" i="43"/>
  <c r="F87" i="38" s="1"/>
  <c r="H87" i="38" s="1"/>
  <c r="J87" i="38" s="1"/>
  <c r="F89" i="38"/>
  <c r="H89" i="38" s="1"/>
  <c r="J89" i="38" s="1"/>
  <c r="O75" i="43"/>
  <c r="F93" i="38"/>
  <c r="H93" i="38" s="1"/>
  <c r="J93" i="38" s="1"/>
  <c r="O79" i="43"/>
  <c r="O64" i="43"/>
  <c r="G11" i="74"/>
  <c r="U9" i="74" s="1"/>
  <c r="O38" i="43"/>
  <c r="G9" i="70"/>
  <c r="S9" i="70" s="1"/>
  <c r="S17" i="70" s="1"/>
  <c r="Y29" i="67"/>
  <c r="Y30" i="67"/>
  <c r="O51" i="43"/>
  <c r="G10" i="72"/>
  <c r="T9" i="72" s="1"/>
  <c r="O58" i="43"/>
  <c r="G11" i="73"/>
  <c r="U9" i="73" s="1"/>
  <c r="O73" i="43"/>
  <c r="O52" i="43"/>
  <c r="G11" i="72"/>
  <c r="U9" i="72" s="1"/>
  <c r="O57" i="43"/>
  <c r="G10" i="73"/>
  <c r="T9" i="73" s="1"/>
  <c r="G11" i="71"/>
  <c r="U9" i="71" s="1"/>
  <c r="O63" i="43"/>
  <c r="G10" i="74"/>
  <c r="T9" i="74" s="1"/>
  <c r="O50" i="43"/>
  <c r="G9" i="72"/>
  <c r="S9" i="72" s="1"/>
  <c r="S17" i="72" s="1"/>
  <c r="O44" i="43"/>
  <c r="G9" i="71"/>
  <c r="S9" i="71" s="1"/>
  <c r="S17" i="71" s="1"/>
  <c r="W24" i="67"/>
  <c r="W27" i="67"/>
  <c r="W23" i="67"/>
  <c r="W29" i="67"/>
  <c r="W25" i="67"/>
  <c r="W26" i="67"/>
  <c r="W30" i="67"/>
  <c r="W28" i="67"/>
  <c r="O56" i="43"/>
  <c r="G9" i="73"/>
  <c r="S9" i="73" s="1"/>
  <c r="S16" i="73" s="1"/>
  <c r="S17" i="73" s="1"/>
  <c r="O26" i="43"/>
  <c r="G10" i="68"/>
  <c r="U9" i="68" s="1"/>
  <c r="O53" i="43"/>
  <c r="G12" i="72"/>
  <c r="V9" i="72" s="1"/>
  <c r="O32" i="43"/>
  <c r="G9" i="69"/>
  <c r="S9" i="69" s="1"/>
  <c r="S17" i="69" s="1"/>
  <c r="O62" i="43"/>
  <c r="G9" i="74"/>
  <c r="S9" i="74" s="1"/>
  <c r="S16" i="74" s="1"/>
  <c r="S17" i="74" s="1"/>
  <c r="O47" i="43"/>
  <c r="G12" i="71"/>
  <c r="V9" i="71" s="1"/>
  <c r="O45" i="43"/>
  <c r="G10" i="71"/>
  <c r="T9" i="71" s="1"/>
  <c r="O33" i="43"/>
  <c r="G10" i="69"/>
  <c r="T9" i="69" s="1"/>
  <c r="U22" i="67"/>
  <c r="Z21" i="67"/>
  <c r="F12" i="38" s="1"/>
  <c r="H12" i="38" s="1"/>
  <c r="J12" i="38" s="1"/>
  <c r="O65" i="43"/>
  <c r="G12" i="74"/>
  <c r="V9" i="74" s="1"/>
  <c r="L28" i="43"/>
  <c r="H63" i="66"/>
  <c r="J63" i="66" s="1"/>
  <c r="L34" i="2"/>
  <c r="O12" i="43"/>
  <c r="O15" i="43"/>
  <c r="O13" i="43"/>
  <c r="J125" i="66"/>
  <c r="H14" i="66" s="1"/>
  <c r="J110" i="66"/>
  <c r="H13" i="66" s="1"/>
  <c r="O11" i="43"/>
  <c r="H62" i="66"/>
  <c r="J62" i="66" s="1"/>
  <c r="L27" i="43"/>
  <c r="L35" i="2"/>
  <c r="L29" i="43"/>
  <c r="H64" i="66"/>
  <c r="J64" i="66" s="1"/>
  <c r="O25" i="43" l="1"/>
  <c r="J49" i="66"/>
  <c r="H9" i="66" s="1"/>
  <c r="O14" i="43"/>
  <c r="X29" i="67"/>
  <c r="X26" i="67"/>
  <c r="X27" i="67"/>
  <c r="X30" i="67"/>
  <c r="G10" i="70"/>
  <c r="T9" i="70" s="1"/>
  <c r="T18" i="70" s="1"/>
  <c r="V29" i="67"/>
  <c r="V24" i="67"/>
  <c r="V30" i="67"/>
  <c r="V26" i="67"/>
  <c r="V27" i="67"/>
  <c r="V28" i="67"/>
  <c r="V23" i="67"/>
  <c r="V25" i="67"/>
  <c r="G12" i="73"/>
  <c r="V9" i="73" s="1"/>
  <c r="J162" i="66"/>
  <c r="U21" i="72"/>
  <c r="U22" i="72"/>
  <c r="T21" i="72"/>
  <c r="T22" i="72"/>
  <c r="U23" i="67"/>
  <c r="Z22" i="67"/>
  <c r="F13" i="38" s="1"/>
  <c r="H13" i="38" s="1"/>
  <c r="J13" i="38" s="1"/>
  <c r="T22" i="70"/>
  <c r="U18" i="72"/>
  <c r="U19" i="72"/>
  <c r="U20" i="72"/>
  <c r="T18" i="69"/>
  <c r="T19" i="69"/>
  <c r="T20" i="69"/>
  <c r="T21" i="69"/>
  <c r="T22" i="69"/>
  <c r="U29" i="68"/>
  <c r="U26" i="68"/>
  <c r="U30" i="68"/>
  <c r="U27" i="68"/>
  <c r="U25" i="68"/>
  <c r="U28" i="68"/>
  <c r="U22" i="68"/>
  <c r="U24" i="68"/>
  <c r="U23" i="68"/>
  <c r="U18" i="73"/>
  <c r="U17" i="73"/>
  <c r="U19" i="73"/>
  <c r="U20" i="73"/>
  <c r="S18" i="73"/>
  <c r="T17" i="72"/>
  <c r="W17" i="72" s="1"/>
  <c r="T18" i="72"/>
  <c r="T19" i="72"/>
  <c r="T20" i="72"/>
  <c r="T22" i="71"/>
  <c r="T19" i="71"/>
  <c r="T20" i="71"/>
  <c r="T18" i="71"/>
  <c r="T21" i="71"/>
  <c r="T20" i="74"/>
  <c r="T19" i="74"/>
  <c r="T16" i="74"/>
  <c r="W16" i="74" s="1"/>
  <c r="T18" i="74"/>
  <c r="T17" i="74"/>
  <c r="O27" i="43"/>
  <c r="G11" i="68"/>
  <c r="V9" i="68" s="1"/>
  <c r="O28" i="43"/>
  <c r="G12" i="68"/>
  <c r="W9" i="68" s="1"/>
  <c r="U20" i="71"/>
  <c r="U19" i="71"/>
  <c r="U22" i="71"/>
  <c r="U21" i="71"/>
  <c r="Y21" i="68"/>
  <c r="F24" i="38" s="1"/>
  <c r="H24" i="38" s="1"/>
  <c r="J24" i="38" s="1"/>
  <c r="T22" i="68"/>
  <c r="S18" i="74"/>
  <c r="W17" i="70"/>
  <c r="S18" i="70"/>
  <c r="S19" i="70" s="1"/>
  <c r="S20" i="70" s="1"/>
  <c r="S21" i="70" s="1"/>
  <c r="S22" i="70" s="1"/>
  <c r="S18" i="71"/>
  <c r="W17" i="71"/>
  <c r="F56" i="38" s="1"/>
  <c r="H56" i="38" s="1"/>
  <c r="J56" i="38" s="1"/>
  <c r="T18" i="73"/>
  <c r="T19" i="73"/>
  <c r="T20" i="73"/>
  <c r="T17" i="73"/>
  <c r="T16" i="73"/>
  <c r="W16" i="73" s="1"/>
  <c r="O29" i="43"/>
  <c r="G13" i="68"/>
  <c r="X9" i="68" s="1"/>
  <c r="U18" i="74"/>
  <c r="U20" i="74"/>
  <c r="U19" i="74"/>
  <c r="U17" i="74"/>
  <c r="S18" i="69"/>
  <c r="S19" i="69" s="1"/>
  <c r="S20" i="69" s="1"/>
  <c r="S21" i="69" s="1"/>
  <c r="S22" i="69" s="1"/>
  <c r="W17" i="69"/>
  <c r="F36" i="38" s="1"/>
  <c r="H36" i="38" s="1"/>
  <c r="J36" i="38" s="1"/>
  <c r="S18" i="72"/>
  <c r="J65" i="66"/>
  <c r="H10" i="66" s="1"/>
  <c r="H77" i="66"/>
  <c r="J77" i="66" s="1"/>
  <c r="L40" i="2"/>
  <c r="L34" i="43"/>
  <c r="N21" i="66"/>
  <c r="H32" i="66"/>
  <c r="L35" i="43"/>
  <c r="L41" i="2"/>
  <c r="H78" i="66"/>
  <c r="J78" i="66" s="1"/>
  <c r="T21" i="70" l="1"/>
  <c r="T20" i="70"/>
  <c r="T19" i="70"/>
  <c r="W17" i="74"/>
  <c r="W17" i="73"/>
  <c r="F72" i="38"/>
  <c r="H72" i="38" s="1"/>
  <c r="J72" i="38" s="1"/>
  <c r="F64" i="38"/>
  <c r="H64" i="38" s="1"/>
  <c r="J64" i="38" s="1"/>
  <c r="W18" i="69"/>
  <c r="F37" i="38" s="1"/>
  <c r="H37" i="38" s="1"/>
  <c r="J37" i="38" s="1"/>
  <c r="F48" i="38"/>
  <c r="H48" i="38" s="1"/>
  <c r="J48" i="38" s="1"/>
  <c r="F79" i="38"/>
  <c r="H79" i="38" s="1"/>
  <c r="J79" i="38" s="1"/>
  <c r="O34" i="43"/>
  <c r="G11" i="69"/>
  <c r="U9" i="69" s="1"/>
  <c r="X30" i="68"/>
  <c r="X29" i="68"/>
  <c r="W18" i="74"/>
  <c r="S19" i="74"/>
  <c r="O35" i="43"/>
  <c r="G12" i="69"/>
  <c r="V9" i="69" s="1"/>
  <c r="T23" i="68"/>
  <c r="T24" i="68" s="1"/>
  <c r="Y22" i="68"/>
  <c r="F25" i="38" s="1"/>
  <c r="H25" i="38" s="1"/>
  <c r="J25" i="38" s="1"/>
  <c r="S19" i="73"/>
  <c r="W18" i="73"/>
  <c r="W18" i="72"/>
  <c r="S19" i="72"/>
  <c r="V28" i="68"/>
  <c r="V26" i="68"/>
  <c r="V29" i="68"/>
  <c r="V25" i="68"/>
  <c r="V30" i="68"/>
  <c r="V27" i="68"/>
  <c r="V24" i="68"/>
  <c r="V23" i="68"/>
  <c r="W18" i="70"/>
  <c r="W30" i="68"/>
  <c r="W29" i="68"/>
  <c r="W27" i="68"/>
  <c r="W28" i="68"/>
  <c r="W26" i="68"/>
  <c r="W18" i="71"/>
  <c r="F57" i="38" s="1"/>
  <c r="H57" i="38" s="1"/>
  <c r="J57" i="38" s="1"/>
  <c r="S19" i="71"/>
  <c r="Z23" i="67"/>
  <c r="F14" i="38" s="1"/>
  <c r="H14" i="38" s="1"/>
  <c r="J14" i="38" s="1"/>
  <c r="U24" i="67"/>
  <c r="H93" i="66"/>
  <c r="J93" i="66" s="1"/>
  <c r="L40" i="43"/>
  <c r="H94" i="66"/>
  <c r="J94" i="66" s="1"/>
  <c r="L41" i="43"/>
  <c r="J79" i="66"/>
  <c r="H11" i="66" s="1"/>
  <c r="F80" i="38" l="1"/>
  <c r="H80" i="38" s="1"/>
  <c r="J80" i="38" s="1"/>
  <c r="F74" i="38"/>
  <c r="H74" i="38" s="1"/>
  <c r="J74" i="38" s="1"/>
  <c r="F81" i="38"/>
  <c r="H81" i="38" s="1"/>
  <c r="J81" i="38" s="1"/>
  <c r="F65" i="38"/>
  <c r="H65" i="38" s="1"/>
  <c r="J65" i="38" s="1"/>
  <c r="F73" i="38"/>
  <c r="H73" i="38" s="1"/>
  <c r="J73" i="38" s="1"/>
  <c r="F49" i="38"/>
  <c r="H49" i="38" s="1"/>
  <c r="J49" i="38" s="1"/>
  <c r="S20" i="73"/>
  <c r="W20" i="73" s="1"/>
  <c r="W19" i="73"/>
  <c r="T25" i="68"/>
  <c r="Y24" i="68"/>
  <c r="F27" i="38" s="1"/>
  <c r="H27" i="38" s="1"/>
  <c r="J27" i="38" s="1"/>
  <c r="O41" i="43"/>
  <c r="G12" i="70"/>
  <c r="V9" i="70" s="1"/>
  <c r="O40" i="43"/>
  <c r="G11" i="70"/>
  <c r="U9" i="70" s="1"/>
  <c r="Y23" i="68"/>
  <c r="F26" i="38" s="1"/>
  <c r="H26" i="38" s="1"/>
  <c r="J26" i="38" s="1"/>
  <c r="S20" i="74"/>
  <c r="W20" i="74" s="1"/>
  <c r="W19" i="74"/>
  <c r="U25" i="67"/>
  <c r="Z24" i="67"/>
  <c r="F15" i="38" s="1"/>
  <c r="H15" i="38" s="1"/>
  <c r="J15" i="38" s="1"/>
  <c r="W19" i="71"/>
  <c r="F58" i="38" s="1"/>
  <c r="H58" i="38" s="1"/>
  <c r="J58" i="38" s="1"/>
  <c r="S20" i="71"/>
  <c r="S20" i="72"/>
  <c r="S21" i="72" s="1"/>
  <c r="W19" i="72"/>
  <c r="U19" i="69"/>
  <c r="W19" i="69" s="1"/>
  <c r="F38" i="38" s="1"/>
  <c r="H38" i="38" s="1"/>
  <c r="J38" i="38" s="1"/>
  <c r="U20" i="69"/>
  <c r="W20" i="69" s="1"/>
  <c r="F39" i="38" s="1"/>
  <c r="H39" i="38" s="1"/>
  <c r="J39" i="38" s="1"/>
  <c r="U21" i="69"/>
  <c r="W21" i="69" s="1"/>
  <c r="F40" i="38" s="1"/>
  <c r="H40" i="38" s="1"/>
  <c r="J40" i="38" s="1"/>
  <c r="U22" i="69"/>
  <c r="W22" i="69" s="1"/>
  <c r="F41" i="38" s="1"/>
  <c r="H41" i="38" s="1"/>
  <c r="J41" i="38" s="1"/>
  <c r="J95" i="66"/>
  <c r="H12" i="66" s="1"/>
  <c r="H17" i="66" s="1"/>
  <c r="H20" i="66" s="1"/>
  <c r="W21" i="72" l="1"/>
  <c r="F68" i="38" s="1"/>
  <c r="H68" i="38" s="1"/>
  <c r="J68" i="38" s="1"/>
  <c r="S22" i="72"/>
  <c r="W22" i="72" s="1"/>
  <c r="F69" i="38" s="1"/>
  <c r="H69" i="38" s="1"/>
  <c r="J69" i="38" s="1"/>
  <c r="F76" i="38"/>
  <c r="H76" i="38" s="1"/>
  <c r="J76" i="38" s="1"/>
  <c r="F82" i="38"/>
  <c r="H82" i="38" s="1"/>
  <c r="J82" i="38" s="1"/>
  <c r="F66" i="38"/>
  <c r="H66" i="38" s="1"/>
  <c r="J66" i="38" s="1"/>
  <c r="F83" i="38"/>
  <c r="H83" i="38" s="1"/>
  <c r="J83" i="38" s="1"/>
  <c r="F75" i="38"/>
  <c r="H75" i="38" s="1"/>
  <c r="J75" i="38" s="1"/>
  <c r="U26" i="67"/>
  <c r="Z25" i="67"/>
  <c r="F16" i="38" s="1"/>
  <c r="H16" i="38" s="1"/>
  <c r="J16" i="38" s="1"/>
  <c r="U19" i="70"/>
  <c r="W19" i="70" s="1"/>
  <c r="U20" i="70"/>
  <c r="W20" i="70" s="1"/>
  <c r="U21" i="70"/>
  <c r="W21" i="70" s="1"/>
  <c r="U22" i="70"/>
  <c r="W22" i="70" s="1"/>
  <c r="W20" i="72"/>
  <c r="S21" i="71"/>
  <c r="W20" i="71"/>
  <c r="F59" i="38" s="1"/>
  <c r="H59" i="38" s="1"/>
  <c r="J59" i="38" s="1"/>
  <c r="T26" i="68"/>
  <c r="Y25" i="68"/>
  <c r="F28" i="38" s="1"/>
  <c r="H28" i="38" s="1"/>
  <c r="J28" i="38" s="1"/>
  <c r="H22" i="66"/>
  <c r="N20" i="66"/>
  <c r="N22" i="66" s="1"/>
  <c r="N24" i="66" s="1"/>
  <c r="F67" i="38" l="1"/>
  <c r="H67" i="38" s="1"/>
  <c r="J67" i="38" s="1"/>
  <c r="F53" i="38"/>
  <c r="H53" i="38" s="1"/>
  <c r="J53" i="38" s="1"/>
  <c r="F51" i="38"/>
  <c r="H51" i="38" s="1"/>
  <c r="J51" i="38" s="1"/>
  <c r="F50" i="38"/>
  <c r="H50" i="38" s="1"/>
  <c r="J50" i="38" s="1"/>
  <c r="F52" i="38"/>
  <c r="H52" i="38" s="1"/>
  <c r="J52" i="38" s="1"/>
  <c r="W21" i="71"/>
  <c r="F60" i="38" s="1"/>
  <c r="H60" i="38" s="1"/>
  <c r="J60" i="38" s="1"/>
  <c r="S22" i="71"/>
  <c r="W22" i="71" s="1"/>
  <c r="F61" i="38" s="1"/>
  <c r="H61" i="38" s="1"/>
  <c r="J61" i="38" s="1"/>
  <c r="T27" i="68"/>
  <c r="Y26" i="68"/>
  <c r="F29" i="38" s="1"/>
  <c r="H29" i="38" s="1"/>
  <c r="J29" i="38" s="1"/>
  <c r="Z26" i="67"/>
  <c r="F17" i="38" s="1"/>
  <c r="H17" i="38" s="1"/>
  <c r="J17" i="38" s="1"/>
  <c r="U27" i="67"/>
  <c r="T28" i="68" l="1"/>
  <c r="Y27" i="68"/>
  <c r="F30" i="38" s="1"/>
  <c r="H30" i="38" s="1"/>
  <c r="J30" i="38" s="1"/>
  <c r="Z27" i="67"/>
  <c r="F18" i="38" s="1"/>
  <c r="H18" i="38" s="1"/>
  <c r="J18" i="38" s="1"/>
  <c r="U28" i="67"/>
  <c r="U29" i="67" l="1"/>
  <c r="Z28" i="67"/>
  <c r="F19" i="38" s="1"/>
  <c r="H19" i="38" s="1"/>
  <c r="J19" i="38" s="1"/>
  <c r="T29" i="68"/>
  <c r="Y28" i="68"/>
  <c r="F31" i="38" s="1"/>
  <c r="H31" i="38" s="1"/>
  <c r="J31" i="38" s="1"/>
  <c r="Y29" i="68" l="1"/>
  <c r="F32" i="38" s="1"/>
  <c r="H32" i="38" s="1"/>
  <c r="J32" i="38" s="1"/>
  <c r="T30" i="68"/>
  <c r="Y30" i="68" s="1"/>
  <c r="F33" i="38" s="1"/>
  <c r="H33" i="38" s="1"/>
  <c r="J33" i="38" s="1"/>
  <c r="U30" i="67"/>
  <c r="Z30" i="67" s="1"/>
  <c r="F21" i="38" s="1"/>
  <c r="H21" i="38" s="1"/>
  <c r="J21" i="38" s="1"/>
  <c r="Z29" i="67"/>
  <c r="F20" i="38" s="1"/>
  <c r="H20" i="38" s="1"/>
  <c r="J20" i="38" s="1"/>
</calcChain>
</file>

<file path=xl/sharedStrings.xml><?xml version="1.0" encoding="utf-8"?>
<sst xmlns="http://schemas.openxmlformats.org/spreadsheetml/2006/main" count="2316" uniqueCount="479">
  <si>
    <t>TOTALS</t>
  </si>
  <si>
    <t>Operating Revenues</t>
  </si>
  <si>
    <t>Total Operating Revenues</t>
  </si>
  <si>
    <t>Operating Expenses</t>
  </si>
  <si>
    <t>Total Operating Expenses</t>
  </si>
  <si>
    <t>Pro Forma Operating Expenses</t>
  </si>
  <si>
    <t>Other Operating Revenue</t>
  </si>
  <si>
    <t>Operation and Maintenance</t>
  </si>
  <si>
    <t>Depreciation Expense</t>
  </si>
  <si>
    <t>Taxes Other Than Income</t>
  </si>
  <si>
    <t>Salaries and Wages - Employees</t>
  </si>
  <si>
    <t>Salaries and Wages - Officers</t>
  </si>
  <si>
    <t>Employee Pensions and Benefits</t>
  </si>
  <si>
    <t>Purchased Water</t>
  </si>
  <si>
    <t>Purchased Power</t>
  </si>
  <si>
    <t>Miscellaneous Expenses</t>
  </si>
  <si>
    <t>Additional Working Capital</t>
  </si>
  <si>
    <t>Adjustments</t>
  </si>
  <si>
    <t>SCHEDULE OF ADJUSTED OPERATIONS</t>
  </si>
  <si>
    <t>Transportation Expenses</t>
  </si>
  <si>
    <t>Net Utility Operating Income</t>
  </si>
  <si>
    <t>Total Revenue Requirement</t>
  </si>
  <si>
    <t>Revenue from Sales at Present Rates</t>
  </si>
  <si>
    <t>Forfeited Discounts</t>
  </si>
  <si>
    <t>Misc. Service Revenues</t>
  </si>
  <si>
    <t>Other Water Revenues:</t>
  </si>
  <si>
    <t>DEBT SERVICE SCHDULE</t>
  </si>
  <si>
    <t>Principal</t>
  </si>
  <si>
    <t>Interest</t>
  </si>
  <si>
    <t>Totals</t>
  </si>
  <si>
    <t>REVENUE REQUIREMENTS</t>
  </si>
  <si>
    <t>Ref.</t>
  </si>
  <si>
    <t>Avg. Annual Principal and Interest Payments</t>
  </si>
  <si>
    <t>Interest Income</t>
  </si>
  <si>
    <t>Water Loss Adjustment:</t>
  </si>
  <si>
    <t>Produced &amp; Purchased</t>
  </si>
  <si>
    <t>Sold</t>
  </si>
  <si>
    <t>Uses:</t>
  </si>
  <si>
    <t xml:space="preserve">  WTP</t>
  </si>
  <si>
    <t xml:space="preserve">  Flushing</t>
  </si>
  <si>
    <t xml:space="preserve">  Fire</t>
  </si>
  <si>
    <t xml:space="preserve">  Other</t>
  </si>
  <si>
    <t>Line Brks.</t>
  </si>
  <si>
    <t>Line Leaks</t>
  </si>
  <si>
    <t xml:space="preserve">  water loss percentage</t>
  </si>
  <si>
    <t>check</t>
  </si>
  <si>
    <t xml:space="preserve">  allowable in rates</t>
  </si>
  <si>
    <t>Materials and Supplies</t>
  </si>
  <si>
    <t>First</t>
  </si>
  <si>
    <t>Next</t>
  </si>
  <si>
    <t>CURRENT AND PROPOSED RATES</t>
  </si>
  <si>
    <t>Pro Forma</t>
  </si>
  <si>
    <t>Test Year</t>
  </si>
  <si>
    <t>C.Y.</t>
  </si>
  <si>
    <t>Total</t>
  </si>
  <si>
    <t xml:space="preserve">   Plus:</t>
  </si>
  <si>
    <t xml:space="preserve">   Less:</t>
  </si>
  <si>
    <t>A</t>
  </si>
  <si>
    <t>B</t>
  </si>
  <si>
    <t>C</t>
  </si>
  <si>
    <t>E</t>
  </si>
  <si>
    <t>F</t>
  </si>
  <si>
    <t>G</t>
  </si>
  <si>
    <t>I</t>
  </si>
  <si>
    <t>J</t>
  </si>
  <si>
    <t>K</t>
  </si>
  <si>
    <t>Revenue Required From Water Sales</t>
  </si>
  <si>
    <t>Wages</t>
  </si>
  <si>
    <t>Employee</t>
  </si>
  <si>
    <t>D</t>
  </si>
  <si>
    <t>Table C</t>
  </si>
  <si>
    <t>Bad Debt</t>
  </si>
  <si>
    <t>Other Water Revenues</t>
  </si>
  <si>
    <t>Nonutility Income</t>
  </si>
  <si>
    <t>PROPOSED RATE SCHEDULES</t>
  </si>
  <si>
    <t xml:space="preserve"> Percentage Rate Increase</t>
  </si>
  <si>
    <t>Over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</si>
  <si>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</si>
  <si>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</si>
  <si>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</si>
  <si>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</si>
  <si>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</si>
  <si>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</si>
  <si>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</si>
  <si>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</si>
  <si>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</si>
  <si>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Nov</t>
  </si>
  <si>
    <t>Dec</t>
  </si>
  <si>
    <t>Oct</t>
  </si>
  <si>
    <t>Page 53</t>
  </si>
  <si>
    <t>Annual Report</t>
  </si>
  <si>
    <t>Income from Utility Plant Leases</t>
  </si>
  <si>
    <t>Gains for Disposition of Property</t>
  </si>
  <si>
    <t>L</t>
  </si>
  <si>
    <t>Pumping Equipment</t>
  </si>
  <si>
    <t>Table A</t>
  </si>
  <si>
    <t>DEPRECIATION EXPENSE ADJUSTMENTS</t>
  </si>
  <si>
    <t>Report</t>
  </si>
  <si>
    <t>H</t>
  </si>
  <si>
    <t>No.</t>
  </si>
  <si>
    <t>CURRENT RATE SCHEDULE *</t>
  </si>
  <si>
    <t>Surplus Revenue With Required Adjustments</t>
  </si>
  <si>
    <t>CURRENT RATES *</t>
  </si>
  <si>
    <t>Hourly</t>
  </si>
  <si>
    <t>UPIS</t>
  </si>
  <si>
    <t>Accum. Dep</t>
  </si>
  <si>
    <t>Account Title</t>
  </si>
  <si>
    <t>Dep. Exp.</t>
  </si>
  <si>
    <t>Land &amp; Land Rights</t>
  </si>
  <si>
    <t>Land $Land Rights</t>
  </si>
  <si>
    <t>Structures and Inprovements</t>
  </si>
  <si>
    <t>Collecting &amp; Impounding Reservoirs</t>
  </si>
  <si>
    <t>Supply Mains</t>
  </si>
  <si>
    <t>Distibutions Reservoirs &amp; Standpipes</t>
  </si>
  <si>
    <t>Transmission &amp; Distibution Mains</t>
  </si>
  <si>
    <t>Meters &amp; Meter Instalations</t>
  </si>
  <si>
    <t>Hydrants</t>
  </si>
  <si>
    <t>Office Furniture and Equipment</t>
  </si>
  <si>
    <t>Office Furniture and Equipment (Software)</t>
  </si>
  <si>
    <t xml:space="preserve">Transportation Eqipment </t>
  </si>
  <si>
    <t xml:space="preserve">Misc.  Equipment </t>
  </si>
  <si>
    <t>Misc.  Equipment (Mower 4/2021)</t>
  </si>
  <si>
    <t>5 Year Avg</t>
  </si>
  <si>
    <t>Annual</t>
  </si>
  <si>
    <t>Bills</t>
  </si>
  <si>
    <t>Gallons</t>
  </si>
  <si>
    <t xml:space="preserve">  adjustment excess water cost</t>
  </si>
  <si>
    <t>Subtotal</t>
  </si>
  <si>
    <t>Less:</t>
  </si>
  <si>
    <t>Percentage Increase</t>
  </si>
  <si>
    <t>Add:</t>
  </si>
  <si>
    <t>Acct.</t>
  </si>
  <si>
    <t>CY 2024 - 2028</t>
  </si>
  <si>
    <t>Contractual Services - Water Testing</t>
  </si>
  <si>
    <t>Insurance - Gen. Liability</t>
  </si>
  <si>
    <t>Existing</t>
  </si>
  <si>
    <t>Bill</t>
  </si>
  <si>
    <t>Proposed</t>
  </si>
  <si>
    <t>Change</t>
  </si>
  <si>
    <t>Percentage</t>
  </si>
  <si>
    <t>Table D</t>
  </si>
  <si>
    <t>Existing and Proposed Bills</t>
  </si>
  <si>
    <t>Differences</t>
  </si>
  <si>
    <t>Table B</t>
  </si>
  <si>
    <t>per Gallon</t>
  </si>
  <si>
    <t>Min. Bill</t>
  </si>
  <si>
    <t>Total Operation and Mant. Expenses</t>
  </si>
  <si>
    <t>Dep.</t>
  </si>
  <si>
    <t>Lives</t>
  </si>
  <si>
    <t>Depreciation Schedule</t>
  </si>
  <si>
    <t>Contractual Services - Legal</t>
  </si>
  <si>
    <t>Uother - Unknown</t>
  </si>
  <si>
    <t>Tank Overflows</t>
  </si>
  <si>
    <t>Expense</t>
  </si>
  <si>
    <t>Pro Forma Adjustment</t>
  </si>
  <si>
    <t>Private Fire Protection</t>
  </si>
  <si>
    <t>Total Metered Sales</t>
  </si>
  <si>
    <t>Total Sales of Water</t>
  </si>
  <si>
    <t>Contractual Services - Other</t>
  </si>
  <si>
    <t>Contractual Services - Accounting</t>
  </si>
  <si>
    <t>Rental of Buliding/Real Prop.</t>
  </si>
  <si>
    <t>Insurance - Vehicle</t>
  </si>
  <si>
    <t>Insurance - Workers' Compensation</t>
  </si>
  <si>
    <t>Insurance - Other</t>
  </si>
  <si>
    <t>Simpson County Water District</t>
  </si>
  <si>
    <t>Rents from Water Property</t>
  </si>
  <si>
    <t>Date</t>
  </si>
  <si>
    <t>SIMPSON COUNTY WATER DISTRICT</t>
  </si>
  <si>
    <t>HOURS &amp; WAGES</t>
  </si>
  <si>
    <t>Salary/</t>
  </si>
  <si>
    <t>EXPENSE WAGES - 601 Wage Expense Accts</t>
  </si>
  <si>
    <t>CAPITAL  WAGES 105 Accts</t>
  </si>
  <si>
    <t>OTHER WAGES (Damages)</t>
  </si>
  <si>
    <t xml:space="preserve">TOTAL WAGES </t>
  </si>
  <si>
    <t>Dept</t>
  </si>
  <si>
    <t>Employee No.</t>
  </si>
  <si>
    <t>12/31/22 Job Position</t>
  </si>
  <si>
    <t>Status</t>
  </si>
  <si>
    <t>Regular Hrs</t>
  </si>
  <si>
    <t>Regular $s</t>
  </si>
  <si>
    <t>OT Hours</t>
  </si>
  <si>
    <t>OT $s</t>
  </si>
  <si>
    <t>Total Hrs</t>
  </si>
  <si>
    <t>Total $s</t>
  </si>
  <si>
    <t>2B</t>
  </si>
  <si>
    <t>Active</t>
  </si>
  <si>
    <t>S</t>
  </si>
  <si>
    <t>GIS Analyst</t>
  </si>
  <si>
    <t>2C</t>
  </si>
  <si>
    <t>Construction Foreman</t>
  </si>
  <si>
    <t>Wastewater System Foreman</t>
  </si>
  <si>
    <t>Serviceperson</t>
  </si>
  <si>
    <t>Operations Supervisor</t>
  </si>
  <si>
    <t>Repairperson/Operator</t>
  </si>
  <si>
    <t>Construction Inspector</t>
  </si>
  <si>
    <t>2E</t>
  </si>
  <si>
    <t>AMR/AMI Supervisor</t>
  </si>
  <si>
    <t>Lead AMR/AMI Technician</t>
  </si>
  <si>
    <t>Water Accountability Supervisor</t>
  </si>
  <si>
    <t xml:space="preserve">Water Accountability Technician </t>
  </si>
  <si>
    <t>Wastewater Technician</t>
  </si>
  <si>
    <t>Water Quality Technician</t>
  </si>
  <si>
    <t xml:space="preserve">AMR/AMI Technician </t>
  </si>
  <si>
    <t xml:space="preserve">Collector/Utilityperson </t>
  </si>
  <si>
    <t>2F</t>
  </si>
  <si>
    <t>Engineering Technician</t>
  </si>
  <si>
    <t xml:space="preserve">Senior Engineer  </t>
  </si>
  <si>
    <t>2H</t>
  </si>
  <si>
    <t>Biling Administrator</t>
  </si>
  <si>
    <t>Systems &amp; Database Administrator</t>
  </si>
  <si>
    <t>General Manager</t>
  </si>
  <si>
    <t>2I</t>
  </si>
  <si>
    <t xml:space="preserve">Customer Service Representative </t>
  </si>
  <si>
    <t>2J</t>
  </si>
  <si>
    <t>Accounting Supervisor- Customer Accounts</t>
  </si>
  <si>
    <t>Accountant</t>
  </si>
  <si>
    <t>Accounting Supervisor- Financial Reporting</t>
  </si>
  <si>
    <t>Accouting Clerk</t>
  </si>
  <si>
    <t>5C</t>
  </si>
  <si>
    <t>5F</t>
  </si>
  <si>
    <t>Customer Service Supervisor</t>
  </si>
  <si>
    <t>Allocation Variance</t>
  </si>
  <si>
    <t xml:space="preserve">     SUBTOTAL</t>
  </si>
  <si>
    <t>CMSS Administrator</t>
  </si>
  <si>
    <t>Lead Dispatch Operator</t>
  </si>
  <si>
    <t>Lead Meter Test Technician</t>
  </si>
  <si>
    <t>Capital</t>
  </si>
  <si>
    <t>Hours</t>
  </si>
  <si>
    <t>Locate Specialist</t>
  </si>
  <si>
    <t>5/8-Inch Meter</t>
  </si>
  <si>
    <t>1-Inch Meter</t>
  </si>
  <si>
    <t>1 1/2-Inch Meter</t>
  </si>
  <si>
    <t>2-Inch Meter</t>
  </si>
  <si>
    <t>3-Inch Meter</t>
  </si>
  <si>
    <t>4-Inch Meter</t>
  </si>
  <si>
    <t>6-Inch Meter</t>
  </si>
  <si>
    <t>8-Inch Meter</t>
  </si>
  <si>
    <t>Less:  Negative Usage</t>
  </si>
  <si>
    <t>less:  Min. Bill.</t>
  </si>
  <si>
    <t>Adjusted Total</t>
  </si>
  <si>
    <t>Less:  2022 Revenues from Water Sales</t>
  </si>
  <si>
    <t>Total Billing Analysis  5/8-Inch Meter</t>
  </si>
  <si>
    <t>1-Inch Meter:</t>
  </si>
  <si>
    <t>1.5-Inch Meter</t>
  </si>
  <si>
    <t>4-Inch</t>
  </si>
  <si>
    <t>6-Inch</t>
  </si>
  <si>
    <t>Less:  2022 Fire Protection Revenues</t>
  </si>
  <si>
    <t>6-Inch FD</t>
  </si>
  <si>
    <t>Principal, Interest &amp; Fee</t>
  </si>
  <si>
    <t>KRWFC 2021B</t>
  </si>
  <si>
    <t>DEBT SERVICE SCHDEDULE</t>
  </si>
  <si>
    <t>Lender:</t>
  </si>
  <si>
    <t>USDA</t>
  </si>
  <si>
    <t>KRWFC</t>
  </si>
  <si>
    <t>TOTAL ANNUAL DEBT</t>
  </si>
  <si>
    <t>Issued:</t>
  </si>
  <si>
    <t>SERVICE REQUIREMENT</t>
  </si>
  <si>
    <t>Rate:</t>
  </si>
  <si>
    <t>1.8513% TIC</t>
  </si>
  <si>
    <t>TIC:</t>
  </si>
  <si>
    <t>N/A</t>
  </si>
  <si>
    <t>Loan ID:</t>
  </si>
  <si>
    <t>Loan #91-09</t>
  </si>
  <si>
    <t>Series 2021A</t>
  </si>
  <si>
    <t>Pymt Dates</t>
  </si>
  <si>
    <t>January 1st \ July 1st</t>
  </si>
  <si>
    <t>Loan Amt:</t>
  </si>
  <si>
    <t>Year</t>
  </si>
  <si>
    <t>Fees</t>
  </si>
  <si>
    <t>USDA 2020</t>
  </si>
  <si>
    <t>SIMPSON COUNTY WATER DISTRIXCT</t>
  </si>
  <si>
    <t>Pension &amp; Benefits Allocation</t>
  </si>
  <si>
    <t>Year 2022</t>
  </si>
  <si>
    <t>TOTAL PAID BY WARREN COUNTY WATER DISTRICT</t>
  </si>
  <si>
    <t>SIMPSON COUNTY WATER DISTRICT ALLOCATION</t>
  </si>
  <si>
    <t>Descripiton</t>
  </si>
  <si>
    <t>Other</t>
  </si>
  <si>
    <t>1A</t>
  </si>
  <si>
    <t>Payroll Taxes -  Employees</t>
  </si>
  <si>
    <t>1B</t>
  </si>
  <si>
    <t>Payroll Taxes -  Commissioners</t>
  </si>
  <si>
    <t>Birthday Holiday Accrual</t>
  </si>
  <si>
    <t>United Way Day Holiday/Prizes</t>
  </si>
  <si>
    <t>Sick Leave Accrual</t>
  </si>
  <si>
    <t xml:space="preserve">401A Contribution </t>
  </si>
  <si>
    <t>Insurance - Medical</t>
  </si>
  <si>
    <t xml:space="preserve">Insurance - Dental </t>
  </si>
  <si>
    <t>Insurance - Basic Life</t>
  </si>
  <si>
    <t>Insurance - Long-Term Disability</t>
  </si>
  <si>
    <t xml:space="preserve">Pension </t>
  </si>
  <si>
    <t>Agreed Upon Procedure Engagement</t>
  </si>
  <si>
    <t>Retirement &amp; Security Accrual</t>
  </si>
  <si>
    <t>Annual Leave Accrual</t>
  </si>
  <si>
    <t>Wellness Awards Accrual</t>
  </si>
  <si>
    <t>Holiday Pay Accrual</t>
  </si>
  <si>
    <t xml:space="preserve">  SUBTOTAL </t>
  </si>
  <si>
    <t>Reimbursement - 2021 Deficit</t>
  </si>
  <si>
    <t>Reimbursement - 2022 Surplus</t>
  </si>
  <si>
    <t xml:space="preserve">  TOTAL Pension &amp; Benefits</t>
  </si>
  <si>
    <t>Other Post Employment Benefits (OPEB)</t>
  </si>
  <si>
    <t xml:space="preserve">  TOTAL - Pension, Benefits, and OPEB</t>
  </si>
  <si>
    <t xml:space="preserve">PSC Annual </t>
  </si>
  <si>
    <t>Warren County Water District</t>
  </si>
  <si>
    <t>2022 Health Insurance Benefits</t>
  </si>
  <si>
    <t>Anthem Blue Cross and Blue Shield</t>
  </si>
  <si>
    <r>
      <t xml:space="preserve">Anthem BCBS Employee </t>
    </r>
    <r>
      <rPr>
        <b/>
        <sz val="8"/>
        <color rgb="FFFF0000"/>
        <rFont val="Arial"/>
        <family val="2"/>
      </rPr>
      <t>Medical</t>
    </r>
  </si>
  <si>
    <t># of Empl</t>
  </si>
  <si>
    <t>WCWD</t>
  </si>
  <si>
    <t>2022 Employee</t>
  </si>
  <si>
    <t xml:space="preserve"> Coverage Types</t>
  </si>
  <si>
    <t>Coverage</t>
  </si>
  <si>
    <t>Covered</t>
  </si>
  <si>
    <t>Monthly Rates</t>
  </si>
  <si>
    <t>Family (F)</t>
  </si>
  <si>
    <t>Employee/Children (EC)</t>
  </si>
  <si>
    <t>Employeel/Spouse (ES)</t>
  </si>
  <si>
    <t>Employee Only (E)</t>
  </si>
  <si>
    <r>
      <t xml:space="preserve">Anthem BCBS Employee </t>
    </r>
    <r>
      <rPr>
        <b/>
        <sz val="8"/>
        <color rgb="FFFF0000"/>
        <rFont val="Arial"/>
        <family val="2"/>
      </rPr>
      <t>Dental</t>
    </r>
    <r>
      <rPr>
        <b/>
        <sz val="8"/>
        <rFont val="Arial"/>
        <family val="2"/>
      </rPr>
      <t xml:space="preserve"> </t>
    </r>
  </si>
  <si>
    <t>MisclassifiedPayroll Taxes:</t>
  </si>
  <si>
    <t>Employees</t>
  </si>
  <si>
    <t>Commissioners</t>
  </si>
  <si>
    <t>Pro Forma Employee Salaries &amp; Wages expense</t>
  </si>
  <si>
    <t>Multiplied by:  FICA Rate</t>
  </si>
  <si>
    <t>Pro Forma Payroll Tax</t>
  </si>
  <si>
    <t>Add:  Commissioner Fees</t>
  </si>
  <si>
    <t>Salaries and Fees Subject to FICA</t>
  </si>
  <si>
    <t>New Projects - Depreciation Expense:</t>
  </si>
  <si>
    <t>Project Description</t>
  </si>
  <si>
    <t>Project</t>
  </si>
  <si>
    <t>Depreciation</t>
  </si>
  <si>
    <t>SCADA Replacement</t>
  </si>
  <si>
    <t>In-Progress</t>
  </si>
  <si>
    <t>Botanical Gardens Line Extension</t>
  </si>
  <si>
    <t>Cross Creek Commons Line Extension</t>
  </si>
  <si>
    <t>Fire Service Installations (3)</t>
  </si>
  <si>
    <t>Installed Year 2023</t>
  </si>
  <si>
    <t>Truck - Dodge Ram 4WD</t>
  </si>
  <si>
    <t>Fisher Contracting Line Extension</t>
  </si>
  <si>
    <t>Citworks Software Implementation</t>
  </si>
  <si>
    <t xml:space="preserve">  Totals</t>
  </si>
  <si>
    <t>Cmpletion</t>
  </si>
  <si>
    <t>Depreciation Adjustment</t>
  </si>
  <si>
    <t>Cost of Water Production</t>
  </si>
  <si>
    <t>Multipled by: Excessive Water Loss</t>
  </si>
  <si>
    <t>Cost ofExcessive Water Loss</t>
  </si>
  <si>
    <t>Electricty</t>
  </si>
  <si>
    <t>3/4-Inch  Meter</t>
  </si>
  <si>
    <t>10-Inch Meter</t>
  </si>
  <si>
    <t>Private Fire Service Rates:</t>
  </si>
  <si>
    <t>BA</t>
  </si>
  <si>
    <t xml:space="preserve">CURRENT RATE SCHEDULE </t>
  </si>
  <si>
    <t>2024 Employee Health Insurance</t>
  </si>
  <si>
    <t>2024 Employee Dental Insurance</t>
  </si>
  <si>
    <t>Total Employee Health and Dental</t>
  </si>
  <si>
    <t>Multiplied by: Allocation Factor</t>
  </si>
  <si>
    <t>Allocation Factor</t>
  </si>
  <si>
    <t>Employer</t>
  </si>
  <si>
    <t>Emp Sal &amp; Wages</t>
  </si>
  <si>
    <t>Cont. Rates</t>
  </si>
  <si>
    <t>Pension</t>
  </si>
  <si>
    <t>Pro Forma Retirement</t>
  </si>
  <si>
    <t>Less:  Test-Year Emp. Retirement</t>
  </si>
  <si>
    <t>Retirement Adjustment</t>
  </si>
  <si>
    <t>Terminated</t>
  </si>
  <si>
    <t>Retired</t>
  </si>
  <si>
    <t>Where did this amount come from?</t>
  </si>
  <si>
    <t>Why is this deducted?</t>
  </si>
  <si>
    <t xml:space="preserve">This is a different increase that SAO - OP Ratio.  </t>
  </si>
  <si>
    <t>YEAR 2024 (Base Year 2022)</t>
  </si>
  <si>
    <t>BC Customer Service Representative - PT</t>
  </si>
  <si>
    <t>Construction Supervisor</t>
  </si>
  <si>
    <t>Controls Technician</t>
  </si>
  <si>
    <t>DPM/Inspection Supervisor</t>
  </si>
  <si>
    <t>Executive Assistant</t>
  </si>
  <si>
    <t>IT Support Technician</t>
  </si>
  <si>
    <t>Lead Water Accountability Technician</t>
  </si>
  <si>
    <t>Manager of Engineering</t>
  </si>
  <si>
    <t>Manager of Finance &amp; Administration</t>
  </si>
  <si>
    <t>Manager of Human Resources &amp; Comm</t>
  </si>
  <si>
    <t>Manager of IT/GIS</t>
  </si>
  <si>
    <t>Manager of Operations</t>
  </si>
  <si>
    <t>Operations Coordinator</t>
  </si>
  <si>
    <t>Repairsperson\Operator</t>
  </si>
  <si>
    <t>SC Customer Service Representative</t>
  </si>
  <si>
    <t>SC Distribution System Coordinator</t>
  </si>
  <si>
    <t>Sr. Construction Inspector</t>
  </si>
  <si>
    <t>Water Accountaiblity Technician</t>
  </si>
  <si>
    <t>New Positions Added in Year 2023/2024</t>
  </si>
  <si>
    <t>Job Description</t>
  </si>
  <si>
    <t>Hire Date</t>
  </si>
  <si>
    <t xml:space="preserve">    TOTAL</t>
  </si>
  <si>
    <t>Year 2024 Wage Expense</t>
  </si>
  <si>
    <t>Year 2022 Wage Expense</t>
  </si>
  <si>
    <t>Total Increase</t>
  </si>
  <si>
    <t>Vacant\Retired\Terminated Positions in Year 2024 (Active Positions in Year 2022):</t>
  </si>
  <si>
    <t>Vacant</t>
  </si>
  <si>
    <t xml:space="preserve">Engineer </t>
  </si>
  <si>
    <t>Dep 2023 Plant Additions</t>
  </si>
  <si>
    <t>Revised Dep Lives AMR Meters</t>
  </si>
  <si>
    <t>Eliminate Adjust for Prior Periods</t>
  </si>
  <si>
    <t>Rates Authorized on January 1, 2023 in Case No. 2022-00390 (PWA):</t>
  </si>
  <si>
    <t>Billing Analysis Total</t>
  </si>
  <si>
    <t>2022 ANTHEM</t>
  </si>
  <si>
    <t>WCWC</t>
  </si>
  <si>
    <t>Allocated Emp Hours</t>
  </si>
  <si>
    <t>Total Employee Hours</t>
  </si>
  <si>
    <t>Test-Year Emp Medical &amp; Dental</t>
  </si>
  <si>
    <t>Pro Forma Emp Medical &amp; Dental</t>
  </si>
  <si>
    <t>Test-Year Medical</t>
  </si>
  <si>
    <t>Test-Year Dental</t>
  </si>
  <si>
    <t xml:space="preserve"> Test-Year Emp. Retirement</t>
  </si>
  <si>
    <t>Less:  Test-Year Emp Medical &amp; Dental</t>
  </si>
  <si>
    <t>Pro Forma FICA Tax</t>
  </si>
  <si>
    <t>Plus 5%</t>
  </si>
  <si>
    <t>Hrly Rate</t>
  </si>
  <si>
    <t>Accounting Clerk (Replacement for 2J-85)</t>
  </si>
  <si>
    <t>Biling Administrator (Replacement for 2H-26)</t>
  </si>
  <si>
    <t>Repairsperson\Operator (Replacement for 2C-185)</t>
  </si>
  <si>
    <t>Repairsperson\Operator (Replacement for 2C-223)</t>
  </si>
  <si>
    <t>Repairsperson\Operator (Replacement for 2F-219)</t>
  </si>
  <si>
    <t>Water Accountability Technician (Replacement for 2E-175)</t>
  </si>
  <si>
    <t>Customer Service Wages Recording to 100% Expense in Year 2024</t>
  </si>
  <si>
    <t>Allocated Employe Hrours Expensed</t>
  </si>
  <si>
    <t>Reg</t>
  </si>
  <si>
    <t>Otime</t>
  </si>
  <si>
    <t>Total Annual</t>
  </si>
  <si>
    <t>Adjustment to Depreciation Expense - Adoption of NARUC Estimated Lives</t>
  </si>
  <si>
    <t>Depreciation Expense - Change in Estimated Life for Badger 5/8" Meters</t>
  </si>
  <si>
    <t>2022 Acc Depr</t>
  </si>
  <si>
    <t>2022 Adjmt</t>
  </si>
  <si>
    <t>2022 Total</t>
  </si>
  <si>
    <t>Balance 12/31/22</t>
  </si>
  <si>
    <t>Asset Disposals</t>
  </si>
  <si>
    <t>to NARUC</t>
  </si>
  <si>
    <t>Depr Exp</t>
  </si>
  <si>
    <t>Structures &amp; Improvements</t>
  </si>
  <si>
    <t>SCADA Equipment</t>
  </si>
  <si>
    <t>Meter Services</t>
  </si>
  <si>
    <t>Meters</t>
  </si>
  <si>
    <t>Meter Instalations</t>
  </si>
  <si>
    <t>Other Equipment - Pumping</t>
  </si>
  <si>
    <t>Software</t>
  </si>
  <si>
    <t>CIS Billing Software</t>
  </si>
  <si>
    <t>Hardware</t>
  </si>
  <si>
    <t>Tools &amp; Shop Equipment</t>
  </si>
  <si>
    <t>Communications Equipment</t>
  </si>
  <si>
    <t>Depreciation Expense - New Projects:</t>
  </si>
  <si>
    <t>Adjustments to Depreciation Expense</t>
  </si>
  <si>
    <t>TOTAL</t>
  </si>
  <si>
    <t xml:space="preserve">Adjusted Depreciation Expense </t>
  </si>
  <si>
    <t>Depreciation Schedule - 2023</t>
  </si>
  <si>
    <t>2023 Acc Depr</t>
  </si>
  <si>
    <t>2023 Adjmt</t>
  </si>
  <si>
    <t>2023 Total</t>
  </si>
  <si>
    <t>Balance 12/31/23</t>
  </si>
  <si>
    <t>Meters (Badger 5/8")</t>
  </si>
  <si>
    <t>Existing Rates</t>
  </si>
  <si>
    <t>Total Other Water Revenues</t>
  </si>
  <si>
    <t>Billing Abalysis</t>
  </si>
  <si>
    <t>Meter Installations</t>
  </si>
  <si>
    <t>Allocation of Current Staff Hours at the 2024 Wage Rates</t>
  </si>
  <si>
    <t>Misclassified FICA</t>
  </si>
  <si>
    <t>Employee Medical &amp; Dental Allocation</t>
  </si>
  <si>
    <t>Employee Pension and 401(k) Allocation</t>
  </si>
  <si>
    <t>Cost Line Loss of 15% Allowable limit</t>
  </si>
  <si>
    <t>Adjustment reflects Test-Year Gallons sold, the elimination of unbilled revenues, and the P#A Rate Decrease in 2023.</t>
  </si>
  <si>
    <t>Table D (Cont.)</t>
  </si>
  <si>
    <t>8-Inch</t>
  </si>
  <si>
    <t>1-Inch</t>
  </si>
  <si>
    <t>1.5- Inch</t>
  </si>
  <si>
    <t>2-Inch</t>
  </si>
  <si>
    <t>3-Inch</t>
  </si>
  <si>
    <t>10-Inch</t>
  </si>
  <si>
    <t>CURRENT BILLING ANALYSIS - 2022 USAGE &amp;  EXISTING RATES</t>
  </si>
  <si>
    <t>CURRENT BILLING ANALYSIS - 2022 USAGE &amp;  EXISTING RATES (Cont.)</t>
  </si>
  <si>
    <t xml:space="preserve">CURRENT BILLING ANALYSIS - 2022 USAGE &amp;  PROPOSED RATES </t>
  </si>
  <si>
    <t>Total Billing Analysis  1-Inch Meter</t>
  </si>
  <si>
    <t xml:space="preserve">Transportation Equipment </t>
  </si>
  <si>
    <t>Simpson Count Water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</si>
</sst>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0.000%"/>
    <numFmt numFmtId="168" formatCode="0_);\(0\)"/>
    <numFmt numFmtId="169" formatCode="mm/dd/yy;@"/>
    <numFmt numFmtId="170" formatCode="_(* #,##0.00000_);_(* \(#,##0.00000\);_(* &quot;-&quot;??_);_(@_)"/>
    <numFmt numFmtId="171" formatCode="_(&quot;$&quot;* #,##0.00000_);_(&quot;$&quot;* \(#,##0.00000\);_(&quot;$&quot;* &quot;-&quot;??_);_(@_)"/>
    <numFmt numFmtId="172" formatCode="#,##0.00000_);\(#,##0.00000\)"/>
    <numFmt numFmtId="173" formatCode="#,##0.00000"/>
    <numFmt numFmtId="174" formatCode="&quot;$&quot;#,##0"/>
    <numFmt numFmtId="175" formatCode="0.0"/>
    <numFmt numFmtId="176" formatCode="0.0000%"/>
    <numFmt numFmtId="177" formatCode="0.00000"/>
    <numFmt numFmtId="178" formatCode="0.0_);\(0.0\)"/>
  </numFmts>
  <fonts count="62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rgb="FF00B05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4"/>
      <color rgb="FFFF0000"/>
      <name val="Arial"/>
      <family val="2"/>
    </font>
    <font>
      <b/>
      <sz val="11"/>
      <name val="Arial"/>
      <family val="2"/>
    </font>
    <font>
      <u/>
      <sz val="12"/>
      <name val="Calibri"/>
      <family val="2"/>
      <scheme val="minor"/>
    </font>
    <font>
      <b/>
      <sz val="12"/>
      <name val="Arial"/>
      <family val="2"/>
    </font>
    <font>
      <b/>
      <u/>
      <sz val="12"/>
      <name val="Arial"/>
      <family val="2"/>
    </font>
    <font>
      <sz val="12"/>
      <color rgb="FFFF0000"/>
      <name val="Arial"/>
      <family val="2"/>
    </font>
    <font>
      <sz val="18"/>
      <name val="Arial"/>
      <family val="2"/>
    </font>
    <font>
      <u/>
      <sz val="18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u/>
      <sz val="11"/>
      <name val="Arial"/>
      <family val="2"/>
    </font>
    <font>
      <sz val="11"/>
      <color rgb="FFFF0000"/>
      <name val="Arial"/>
      <family val="2"/>
    </font>
    <font>
      <i/>
      <sz val="11"/>
      <color rgb="FFFF0000"/>
      <name val="Arial"/>
      <family val="2"/>
    </font>
    <font>
      <u val="singleAccounting"/>
      <sz val="11"/>
      <name val="Arial"/>
      <family val="2"/>
    </font>
    <font>
      <sz val="11"/>
      <color theme="3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u val="singleAccounting"/>
      <sz val="9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18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/>
      <sz val="10"/>
      <color theme="1"/>
      <name val="Calibri"/>
      <family val="2"/>
      <scheme val="minor"/>
    </font>
    <font>
      <b/>
      <u/>
      <sz val="10"/>
      <color theme="1"/>
      <name val="Calibri"/>
      <family val="2"/>
    </font>
    <font>
      <u/>
      <sz val="10"/>
      <color theme="1"/>
      <name val="Calibri"/>
      <family val="2"/>
      <scheme val="minor"/>
    </font>
    <font>
      <u/>
      <sz val="10"/>
      <color theme="1"/>
      <name val="Calibri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u/>
      <sz val="12"/>
      <color rgb="FFFF0000"/>
      <name val="Arial"/>
      <family val="2"/>
    </font>
    <font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3">
    <xf numFmtId="0" fontId="0" fillId="0" borderId="0" xfId="0"/>
    <xf numFmtId="0" fontId="4" fillId="0" borderId="0" xfId="0" applyFont="1"/>
    <xf numFmtId="165" fontId="4" fillId="0" borderId="0" xfId="1" applyNumberFormat="1" applyFont="1"/>
    <xf numFmtId="165" fontId="4" fillId="0" borderId="0" xfId="1" applyNumberFormat="1" applyFont="1" applyBorder="1"/>
    <xf numFmtId="3" fontId="4" fillId="0" borderId="0" xfId="0" applyNumberFormat="1" applyFont="1" applyAlignment="1">
      <alignment horizontal="right"/>
    </xf>
    <xf numFmtId="44" fontId="4" fillId="0" borderId="0" xfId="4" applyFont="1"/>
    <xf numFmtId="3" fontId="4" fillId="0" borderId="0" xfId="0" applyNumberFormat="1" applyFont="1"/>
    <xf numFmtId="0" fontId="8" fillId="0" borderId="0" xfId="0" applyFont="1"/>
    <xf numFmtId="167" fontId="4" fillId="0" borderId="0" xfId="6" applyNumberFormat="1" applyFont="1"/>
    <xf numFmtId="165" fontId="4" fillId="0" borderId="0" xfId="5" applyNumberFormat="1" applyFont="1" applyAlignment="1">
      <alignment vertical="center"/>
    </xf>
    <xf numFmtId="3" fontId="3" fillId="0" borderId="0" xfId="0" applyNumberFormat="1" applyFont="1"/>
    <xf numFmtId="165" fontId="6" fillId="0" borderId="0" xfId="1" applyNumberFormat="1" applyFont="1"/>
    <xf numFmtId="167" fontId="11" fillId="0" borderId="0" xfId="6" applyNumberFormat="1" applyFont="1"/>
    <xf numFmtId="0" fontId="8" fillId="0" borderId="2" xfId="0" applyFont="1" applyBorder="1"/>
    <xf numFmtId="0" fontId="8" fillId="0" borderId="3" xfId="0" applyFont="1" applyBorder="1"/>
    <xf numFmtId="0" fontId="8" fillId="0" borderId="7" xfId="0" applyFont="1" applyBorder="1"/>
    <xf numFmtId="3" fontId="3" fillId="0" borderId="0" xfId="0" applyNumberFormat="1" applyFont="1" applyAlignment="1">
      <alignment horizontal="left" vertical="center"/>
    </xf>
    <xf numFmtId="167" fontId="3" fillId="0" borderId="0" xfId="6" applyNumberFormat="1" applyFont="1"/>
    <xf numFmtId="3" fontId="13" fillId="0" borderId="0" xfId="0" applyNumberFormat="1" applyFont="1"/>
    <xf numFmtId="165" fontId="6" fillId="0" borderId="0" xfId="1" applyNumberFormat="1" applyFont="1" applyAlignment="1">
      <alignment horizontal="center"/>
    </xf>
    <xf numFmtId="165" fontId="6" fillId="0" borderId="0" xfId="1" applyNumberFormat="1" applyFont="1" applyBorder="1"/>
    <xf numFmtId="0" fontId="14" fillId="0" borderId="0" xfId="0" applyFont="1"/>
    <xf numFmtId="10" fontId="9" fillId="0" borderId="0" xfId="6" applyNumberFormat="1" applyFont="1" applyAlignment="1"/>
    <xf numFmtId="0" fontId="9" fillId="0" borderId="0" xfId="0" applyFont="1"/>
    <xf numFmtId="44" fontId="8" fillId="0" borderId="0" xfId="0" applyNumberFormat="1" applyFont="1"/>
    <xf numFmtId="43" fontId="8" fillId="0" borderId="0" xfId="5" applyFont="1" applyAlignment="1"/>
    <xf numFmtId="165" fontId="8" fillId="0" borderId="0" xfId="5" applyNumberFormat="1" applyFont="1" applyAlignment="1"/>
    <xf numFmtId="165" fontId="4" fillId="0" borderId="0" xfId="1" applyNumberFormat="1" applyFont="1" applyAlignment="1">
      <alignment horizontal="center"/>
    </xf>
    <xf numFmtId="0" fontId="0" fillId="0" borderId="2" xfId="0" applyBorder="1"/>
    <xf numFmtId="1" fontId="16" fillId="0" borderId="0" xfId="0" applyNumberFormat="1" applyFont="1" applyAlignment="1">
      <alignment horizontal="center"/>
    </xf>
    <xf numFmtId="0" fontId="16" fillId="0" borderId="0" xfId="0" applyFont="1"/>
    <xf numFmtId="39" fontId="16" fillId="0" borderId="0" xfId="0" applyNumberFormat="1" applyFont="1"/>
    <xf numFmtId="1" fontId="16" fillId="0" borderId="0" xfId="0" applyNumberFormat="1" applyFont="1"/>
    <xf numFmtId="168" fontId="16" fillId="0" borderId="0" xfId="0" applyNumberFormat="1" applyFont="1" applyAlignment="1">
      <alignment horizontal="center"/>
    </xf>
    <xf numFmtId="0" fontId="16" fillId="0" borderId="1" xfId="0" applyFont="1" applyBorder="1" applyAlignment="1">
      <alignment horizontal="center"/>
    </xf>
    <xf numFmtId="39" fontId="16" fillId="0" borderId="1" xfId="0" applyNumberFormat="1" applyFont="1" applyBorder="1" applyAlignment="1">
      <alignment horizontal="center"/>
    </xf>
    <xf numFmtId="169" fontId="16" fillId="0" borderId="1" xfId="0" applyNumberFormat="1" applyFont="1" applyBorder="1" applyAlignment="1">
      <alignment horizontal="center"/>
    </xf>
    <xf numFmtId="168" fontId="16" fillId="0" borderId="1" xfId="0" applyNumberFormat="1" applyFont="1" applyBorder="1" applyAlignment="1">
      <alignment horizontal="center"/>
    </xf>
    <xf numFmtId="42" fontId="16" fillId="0" borderId="0" xfId="0" applyNumberFormat="1" applyFont="1"/>
    <xf numFmtId="44" fontId="16" fillId="0" borderId="10" xfId="0" applyNumberFormat="1" applyFont="1" applyBorder="1"/>
    <xf numFmtId="0" fontId="1" fillId="0" borderId="0" xfId="0" applyFont="1"/>
    <xf numFmtId="165" fontId="15" fillId="0" borderId="0" xfId="5" applyNumberFormat="1" applyFont="1"/>
    <xf numFmtId="165" fontId="15" fillId="0" borderId="4" xfId="5" applyNumberFormat="1" applyFont="1" applyBorder="1"/>
    <xf numFmtId="165" fontId="15" fillId="0" borderId="5" xfId="5" applyNumberFormat="1" applyFont="1" applyBorder="1"/>
    <xf numFmtId="165" fontId="15" fillId="0" borderId="6" xfId="5" applyNumberFormat="1" applyFont="1" applyBorder="1"/>
    <xf numFmtId="3" fontId="19" fillId="0" borderId="0" xfId="0" applyNumberFormat="1" applyFont="1" applyAlignment="1">
      <alignment horizontal="left" vertical="center"/>
    </xf>
    <xf numFmtId="165" fontId="15" fillId="0" borderId="0" xfId="5" applyNumberFormat="1" applyFont="1" applyBorder="1" applyAlignment="1">
      <alignment horizontal="centerContinuous"/>
    </xf>
    <xf numFmtId="165" fontId="15" fillId="0" borderId="0" xfId="5" applyNumberFormat="1" applyFont="1" applyBorder="1"/>
    <xf numFmtId="165" fontId="15" fillId="0" borderId="0" xfId="5" applyNumberFormat="1" applyFont="1" applyBorder="1" applyAlignment="1">
      <alignment horizontal="left"/>
    </xf>
    <xf numFmtId="168" fontId="15" fillId="0" borderId="0" xfId="5" quotePrefix="1" applyNumberFormat="1" applyFont="1" applyBorder="1" applyAlignment="1">
      <alignment horizontal="center"/>
    </xf>
    <xf numFmtId="165" fontId="15" fillId="0" borderId="0" xfId="5" quotePrefix="1" applyNumberFormat="1" applyFont="1" applyBorder="1" applyAlignment="1">
      <alignment horizontal="center"/>
    </xf>
    <xf numFmtId="165" fontId="20" fillId="0" borderId="0" xfId="5" applyNumberFormat="1" applyFont="1" applyBorder="1" applyAlignment="1">
      <alignment horizontal="right"/>
    </xf>
    <xf numFmtId="165" fontId="15" fillId="0" borderId="0" xfId="5" applyNumberFormat="1" applyFont="1" applyBorder="1" applyAlignment="1">
      <alignment horizontal="center"/>
    </xf>
    <xf numFmtId="165" fontId="15" fillId="0" borderId="0" xfId="5" applyNumberFormat="1" applyFont="1" applyAlignment="1">
      <alignment horizontal="center"/>
    </xf>
    <xf numFmtId="165" fontId="15" fillId="0" borderId="1" xfId="5" applyNumberFormat="1" applyFont="1" applyBorder="1"/>
    <xf numFmtId="165" fontId="15" fillId="0" borderId="1" xfId="5" applyNumberFormat="1" applyFont="1" applyBorder="1" applyAlignment="1">
      <alignment horizontal="center"/>
    </xf>
    <xf numFmtId="165" fontId="15" fillId="0" borderId="1" xfId="5" quotePrefix="1" applyNumberFormat="1" applyFont="1" applyBorder="1" applyAlignment="1">
      <alignment horizontal="center"/>
    </xf>
    <xf numFmtId="0" fontId="0" fillId="0" borderId="1" xfId="0" applyBorder="1"/>
    <xf numFmtId="165" fontId="0" fillId="0" borderId="0" xfId="0" applyNumberFormat="1"/>
    <xf numFmtId="39" fontId="0" fillId="0" borderId="0" xfId="0" applyNumberFormat="1"/>
    <xf numFmtId="37" fontId="1" fillId="0" borderId="0" xfId="0" applyNumberFormat="1" applyFont="1"/>
    <xf numFmtId="173" fontId="4" fillId="0" borderId="0" xfId="0" applyNumberFormat="1" applyFont="1"/>
    <xf numFmtId="3" fontId="5" fillId="0" borderId="0" xfId="0" applyNumberFormat="1" applyFont="1" applyAlignment="1">
      <alignment horizontal="left" vertical="center"/>
    </xf>
    <xf numFmtId="0" fontId="1" fillId="0" borderId="3" xfId="0" applyFont="1" applyBorder="1"/>
    <xf numFmtId="0" fontId="1" fillId="0" borderId="2" xfId="0" applyFont="1" applyBorder="1"/>
    <xf numFmtId="0" fontId="1" fillId="0" borderId="7" xfId="0" applyFont="1" applyBorder="1"/>
    <xf numFmtId="165" fontId="15" fillId="0" borderId="8" xfId="5" applyNumberFormat="1" applyFont="1" applyBorder="1"/>
    <xf numFmtId="3" fontId="9" fillId="0" borderId="0" xfId="0" applyNumberFormat="1" applyFont="1" applyAlignment="1">
      <alignment horizontal="center" vertical="center"/>
    </xf>
    <xf numFmtId="37" fontId="0" fillId="0" borderId="0" xfId="0" applyNumberFormat="1"/>
    <xf numFmtId="37" fontId="0" fillId="0" borderId="0" xfId="0" applyNumberFormat="1" applyAlignment="1">
      <alignment horizontal="center"/>
    </xf>
    <xf numFmtId="37" fontId="0" fillId="0" borderId="1" xfId="0" applyNumberFormat="1" applyBorder="1" applyAlignment="1">
      <alignment horizontal="center"/>
    </xf>
    <xf numFmtId="0" fontId="8" fillId="0" borderId="4" xfId="0" applyFont="1" applyBorder="1"/>
    <xf numFmtId="0" fontId="14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1" xfId="0" applyFont="1" applyBorder="1"/>
    <xf numFmtId="0" fontId="14" fillId="0" borderId="1" xfId="0" applyFont="1" applyBorder="1"/>
    <xf numFmtId="0" fontId="8" fillId="0" borderId="8" xfId="0" applyFont="1" applyBorder="1"/>
    <xf numFmtId="0" fontId="21" fillId="0" borderId="0" xfId="0" applyFont="1" applyAlignment="1">
      <alignment horizontal="center"/>
    </xf>
    <xf numFmtId="166" fontId="8" fillId="0" borderId="0" xfId="6" applyNumberFormat="1" applyFont="1" applyAlignment="1"/>
    <xf numFmtId="170" fontId="8" fillId="0" borderId="0" xfId="5" applyNumberFormat="1" applyFont="1" applyAlignment="1"/>
    <xf numFmtId="39" fontId="0" fillId="0" borderId="1" xfId="0" applyNumberFormat="1" applyBorder="1"/>
    <xf numFmtId="39" fontId="0" fillId="0" borderId="10" xfId="0" applyNumberFormat="1" applyBorder="1"/>
    <xf numFmtId="164" fontId="15" fillId="0" borderId="0" xfId="0" applyNumberFormat="1" applyFont="1" applyAlignment="1">
      <alignment vertical="center"/>
    </xf>
    <xf numFmtId="37" fontId="15" fillId="0" borderId="0" xfId="0" applyNumberFormat="1" applyFont="1" applyAlignment="1">
      <alignment vertical="center"/>
    </xf>
    <xf numFmtId="0" fontId="1" fillId="0" borderId="0" xfId="0" applyFont="1" applyAlignment="1">
      <alignment horizontal="center"/>
    </xf>
    <xf numFmtId="39" fontId="16" fillId="0" borderId="0" xfId="0" applyNumberFormat="1" applyFont="1" applyAlignment="1">
      <alignment horizontal="center"/>
    </xf>
    <xf numFmtId="0" fontId="16" fillId="0" borderId="1" xfId="0" applyFont="1" applyBorder="1"/>
    <xf numFmtId="39" fontId="16" fillId="0" borderId="1" xfId="0" applyNumberFormat="1" applyFont="1" applyBorder="1"/>
    <xf numFmtId="0" fontId="16" fillId="0" borderId="2" xfId="0" applyFont="1" applyBorder="1"/>
    <xf numFmtId="0" fontId="16" fillId="0" borderId="7" xfId="0" applyFont="1" applyBorder="1"/>
    <xf numFmtId="0" fontId="0" fillId="0" borderId="6" xfId="0" applyBorder="1"/>
    <xf numFmtId="0" fontId="1" fillId="0" borderId="1" xfId="0" applyFont="1" applyBorder="1" applyAlignment="1">
      <alignment horizontal="center"/>
    </xf>
    <xf numFmtId="44" fontId="0" fillId="0" borderId="0" xfId="0" applyNumberFormat="1"/>
    <xf numFmtId="44" fontId="0" fillId="0" borderId="1" xfId="0" applyNumberFormat="1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10" fontId="0" fillId="0" borderId="1" xfId="3" applyNumberFormat="1" applyFont="1" applyBorder="1"/>
    <xf numFmtId="0" fontId="16" fillId="0" borderId="3" xfId="0" applyFont="1" applyBorder="1"/>
    <xf numFmtId="0" fontId="16" fillId="0" borderId="5" xfId="0" applyFont="1" applyBorder="1"/>
    <xf numFmtId="0" fontId="16" fillId="0" borderId="6" xfId="0" applyFont="1" applyBorder="1"/>
    <xf numFmtId="0" fontId="16" fillId="0" borderId="8" xfId="0" applyFont="1" applyBorder="1"/>
    <xf numFmtId="0" fontId="0" fillId="0" borderId="4" xfId="0" applyBorder="1"/>
    <xf numFmtId="42" fontId="15" fillId="0" borderId="9" xfId="5" applyNumberFormat="1" applyFont="1" applyBorder="1" applyAlignment="1">
      <alignment horizontal="center"/>
    </xf>
    <xf numFmtId="42" fontId="15" fillId="0" borderId="9" xfId="5" applyNumberFormat="1" applyFont="1" applyBorder="1"/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1" fontId="16" fillId="0" borderId="1" xfId="0" applyNumberFormat="1" applyFont="1" applyBorder="1" applyAlignment="1">
      <alignment horizontal="center"/>
    </xf>
    <xf numFmtId="39" fontId="0" fillId="0" borderId="1" xfId="0" applyNumberForma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3" fontId="0" fillId="0" borderId="0" xfId="1" applyFont="1"/>
    <xf numFmtId="37" fontId="0" fillId="0" borderId="10" xfId="0" applyNumberFormat="1" applyBorder="1"/>
    <xf numFmtId="172" fontId="0" fillId="0" borderId="0" xfId="0" applyNumberFormat="1"/>
    <xf numFmtId="39" fontId="0" fillId="0" borderId="4" xfId="0" applyNumberFormat="1" applyBorder="1"/>
    <xf numFmtId="164" fontId="15" fillId="0" borderId="0" xfId="4" quotePrefix="1" applyNumberFormat="1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5" fillId="0" borderId="0" xfId="0" applyFont="1"/>
    <xf numFmtId="0" fontId="36" fillId="0" borderId="0" xfId="0" applyFont="1"/>
    <xf numFmtId="15" fontId="35" fillId="0" borderId="0" xfId="0" quotePrefix="1" applyNumberFormat="1" applyFont="1"/>
    <xf numFmtId="43" fontId="35" fillId="0" borderId="0" xfId="1" quotePrefix="1" applyFont="1" applyAlignment="1"/>
    <xf numFmtId="0" fontId="35" fillId="0" borderId="1" xfId="0" applyFont="1" applyBorder="1"/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174" fontId="35" fillId="0" borderId="0" xfId="0" applyNumberFormat="1" applyFont="1" applyAlignment="1">
      <alignment horizontal="center"/>
    </xf>
    <xf numFmtId="0" fontId="37" fillId="0" borderId="13" xfId="0" applyFont="1" applyBorder="1" applyAlignment="1">
      <alignment horizontal="center"/>
    </xf>
    <xf numFmtId="3" fontId="38" fillId="0" borderId="0" xfId="0" applyNumberFormat="1" applyFont="1" applyAlignment="1">
      <alignment horizontal="center"/>
    </xf>
    <xf numFmtId="3" fontId="38" fillId="0" borderId="6" xfId="2" applyNumberFormat="1" applyFont="1" applyBorder="1" applyAlignment="1">
      <alignment horizontal="center"/>
    </xf>
    <xf numFmtId="3" fontId="38" fillId="0" borderId="3" xfId="0" applyNumberFormat="1" applyFont="1" applyBorder="1" applyAlignment="1">
      <alignment horizontal="center"/>
    </xf>
    <xf numFmtId="3" fontId="38" fillId="0" borderId="5" xfId="2" applyNumberFormat="1" applyFont="1" applyBorder="1" applyAlignment="1">
      <alignment horizontal="center"/>
    </xf>
    <xf numFmtId="3" fontId="37" fillId="0" borderId="3" xfId="0" applyNumberFormat="1" applyFont="1" applyBorder="1" applyAlignment="1">
      <alignment horizontal="center"/>
    </xf>
    <xf numFmtId="3" fontId="37" fillId="0" borderId="4" xfId="0" applyNumberFormat="1" applyFont="1" applyBorder="1" applyAlignment="1">
      <alignment horizontal="center"/>
    </xf>
    <xf numFmtId="3" fontId="37" fillId="0" borderId="0" xfId="0" applyNumberFormat="1" applyFont="1" applyAlignment="1">
      <alignment horizontal="center"/>
    </xf>
    <xf numFmtId="3" fontId="37" fillId="0" borderId="5" xfId="2" applyNumberFormat="1" applyFont="1" applyBorder="1" applyAlignment="1">
      <alignment horizontal="center"/>
    </xf>
    <xf numFmtId="3" fontId="35" fillId="0" borderId="6" xfId="0" applyNumberFormat="1" applyFont="1" applyBorder="1"/>
    <xf numFmtId="3" fontId="35" fillId="0" borderId="2" xfId="0" applyNumberFormat="1" applyFont="1" applyBorder="1"/>
    <xf numFmtId="3" fontId="35" fillId="0" borderId="0" xfId="0" applyNumberFormat="1" applyFont="1"/>
    <xf numFmtId="3" fontId="36" fillId="0" borderId="2" xfId="0" applyNumberFormat="1" applyFont="1" applyBorder="1"/>
    <xf numFmtId="3" fontId="36" fillId="0" borderId="0" xfId="0" applyNumberFormat="1" applyFont="1"/>
    <xf numFmtId="3" fontId="36" fillId="0" borderId="6" xfId="0" applyNumberFormat="1" applyFont="1" applyBorder="1"/>
    <xf numFmtId="165" fontId="35" fillId="0" borderId="0" xfId="1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165" fontId="35" fillId="0" borderId="6" xfId="1" applyNumberFormat="1" applyFont="1" applyBorder="1"/>
    <xf numFmtId="165" fontId="35" fillId="0" borderId="2" xfId="1" applyNumberFormat="1" applyFont="1" applyBorder="1" applyAlignment="1">
      <alignment horizontal="center"/>
    </xf>
    <xf numFmtId="165" fontId="36" fillId="0" borderId="2" xfId="1" applyNumberFormat="1" applyFont="1" applyBorder="1" applyAlignment="1">
      <alignment horizontal="center"/>
    </xf>
    <xf numFmtId="165" fontId="36" fillId="0" borderId="0" xfId="1" applyNumberFormat="1" applyFont="1" applyBorder="1" applyAlignment="1">
      <alignment horizontal="center"/>
    </xf>
    <xf numFmtId="165" fontId="36" fillId="0" borderId="6" xfId="1" applyNumberFormat="1" applyFont="1" applyBorder="1"/>
    <xf numFmtId="43" fontId="35" fillId="0" borderId="0" xfId="0" applyNumberFormat="1" applyFont="1"/>
    <xf numFmtId="3" fontId="35" fillId="0" borderId="0" xfId="1" applyNumberFormat="1" applyFont="1" applyBorder="1" applyAlignment="1">
      <alignment horizontal="center"/>
    </xf>
    <xf numFmtId="3" fontId="35" fillId="0" borderId="6" xfId="1" applyNumberFormat="1" applyFont="1" applyBorder="1"/>
    <xf numFmtId="3" fontId="35" fillId="0" borderId="2" xfId="1" applyNumberFormat="1" applyFont="1" applyBorder="1"/>
    <xf numFmtId="3" fontId="35" fillId="0" borderId="0" xfId="1" applyNumberFormat="1" applyFont="1" applyBorder="1"/>
    <xf numFmtId="3" fontId="36" fillId="0" borderId="6" xfId="1" applyNumberFormat="1" applyFont="1" applyBorder="1"/>
    <xf numFmtId="164" fontId="35" fillId="0" borderId="1" xfId="2" applyNumberFormat="1" applyFont="1" applyBorder="1" applyAlignment="1">
      <alignment horizontal="center"/>
    </xf>
    <xf numFmtId="164" fontId="35" fillId="0" borderId="8" xfId="2" applyNumberFormat="1" applyFont="1" applyBorder="1"/>
    <xf numFmtId="164" fontId="35" fillId="0" borderId="7" xfId="2" applyNumberFormat="1" applyFont="1" applyBorder="1" applyAlignment="1">
      <alignment horizontal="center"/>
    </xf>
    <xf numFmtId="164" fontId="36" fillId="0" borderId="7" xfId="2" applyNumberFormat="1" applyFont="1" applyBorder="1" applyAlignment="1">
      <alignment horizontal="center"/>
    </xf>
    <xf numFmtId="164" fontId="36" fillId="0" borderId="1" xfId="2" applyNumberFormat="1" applyFont="1" applyBorder="1" applyAlignment="1">
      <alignment horizontal="center"/>
    </xf>
    <xf numFmtId="164" fontId="36" fillId="0" borderId="8" xfId="2" applyNumberFormat="1" applyFont="1" applyBorder="1"/>
    <xf numFmtId="174" fontId="35" fillId="0" borderId="0" xfId="0" applyNumberFormat="1" applyFont="1"/>
    <xf numFmtId="43" fontId="35" fillId="0" borderId="0" xfId="1" applyFont="1" applyAlignment="1">
      <alignment horizontal="left"/>
    </xf>
    <xf numFmtId="43" fontId="35" fillId="0" borderId="0" xfId="0" applyNumberFormat="1" applyFont="1" applyAlignment="1">
      <alignment horizontal="center"/>
    </xf>
    <xf numFmtId="2" fontId="35" fillId="0" borderId="0" xfId="0" applyNumberFormat="1" applyFont="1"/>
    <xf numFmtId="164" fontId="35" fillId="0" borderId="0" xfId="0" applyNumberFormat="1" applyFont="1" applyAlignment="1">
      <alignment horizontal="center"/>
    </xf>
    <xf numFmtId="164" fontId="35" fillId="0" borderId="0" xfId="0" applyNumberFormat="1" applyFont="1"/>
    <xf numFmtId="10" fontId="40" fillId="0" borderId="0" xfId="3" applyNumberFormat="1" applyFont="1" applyFill="1" applyBorder="1"/>
    <xf numFmtId="43" fontId="40" fillId="0" borderId="0" xfId="1" applyFont="1" applyFill="1"/>
    <xf numFmtId="10" fontId="41" fillId="0" borderId="0" xfId="3" applyNumberFormat="1" applyFont="1" applyFill="1" applyBorder="1" applyAlignment="1">
      <alignment horizontal="center"/>
    </xf>
    <xf numFmtId="44" fontId="40" fillId="0" borderId="0" xfId="2" applyFont="1" applyFill="1"/>
    <xf numFmtId="44" fontId="40" fillId="0" borderId="0" xfId="2" applyFont="1" applyFill="1" applyBorder="1"/>
    <xf numFmtId="43" fontId="40" fillId="0" borderId="1" xfId="1" applyFont="1" applyFill="1" applyBorder="1"/>
    <xf numFmtId="44" fontId="40" fillId="0" borderId="10" xfId="2" applyFont="1" applyFill="1" applyBorder="1"/>
    <xf numFmtId="10" fontId="42" fillId="0" borderId="0" xfId="3" applyNumberFormat="1" applyFont="1" applyFill="1" applyBorder="1"/>
    <xf numFmtId="44" fontId="40" fillId="0" borderId="0" xfId="2" applyFont="1" applyFill="1" applyAlignment="1">
      <alignment horizontal="center"/>
    </xf>
    <xf numFmtId="0" fontId="44" fillId="0" borderId="12" xfId="0" applyFont="1" applyBorder="1" applyAlignment="1" applyProtection="1">
      <alignment horizontal="center"/>
      <protection locked="0"/>
    </xf>
    <xf numFmtId="0" fontId="40" fillId="0" borderId="12" xfId="0" applyFont="1" applyBorder="1" applyAlignment="1" applyProtection="1">
      <alignment horizontal="center"/>
      <protection locked="0"/>
    </xf>
    <xf numFmtId="0" fontId="39" fillId="0" borderId="12" xfId="0" applyFont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44" fillId="0" borderId="14" xfId="0" applyFont="1" applyBorder="1" applyAlignment="1" applyProtection="1">
      <alignment horizontal="center"/>
      <protection locked="0"/>
    </xf>
    <xf numFmtId="0" fontId="39" fillId="0" borderId="14" xfId="0" applyFont="1" applyBorder="1" applyAlignment="1" applyProtection="1">
      <alignment horizontal="center"/>
      <protection locked="0"/>
    </xf>
    <xf numFmtId="0" fontId="46" fillId="0" borderId="12" xfId="0" applyFont="1" applyBorder="1" applyAlignment="1" applyProtection="1">
      <alignment horizontal="center"/>
      <protection locked="0"/>
    </xf>
    <xf numFmtId="0" fontId="40" fillId="0" borderId="13" xfId="0" applyFont="1" applyBorder="1" applyAlignment="1" applyProtection="1">
      <alignment horizontal="center"/>
      <protection locked="0"/>
    </xf>
    <xf numFmtId="0" fontId="46" fillId="0" borderId="13" xfId="0" applyFont="1" applyBorder="1" applyAlignment="1" applyProtection="1">
      <alignment horizontal="center"/>
      <protection locked="0"/>
    </xf>
    <xf numFmtId="0" fontId="46" fillId="0" borderId="14" xfId="0" applyFont="1" applyBorder="1" applyAlignment="1" applyProtection="1">
      <alignment horizontal="center"/>
      <protection locked="0"/>
    </xf>
    <xf numFmtId="0" fontId="40" fillId="0" borderId="14" xfId="0" applyFont="1" applyBorder="1" applyAlignment="1" applyProtection="1">
      <alignment horizontal="center"/>
      <protection locked="0"/>
    </xf>
    <xf numFmtId="43" fontId="0" fillId="0" borderId="0" xfId="0" applyNumberFormat="1"/>
    <xf numFmtId="0" fontId="40" fillId="0" borderId="0" xfId="0" applyFont="1" applyAlignment="1" applyProtection="1">
      <alignment horizontal="left"/>
      <protection locked="0"/>
    </xf>
    <xf numFmtId="2" fontId="0" fillId="0" borderId="0" xfId="0" applyNumberFormat="1"/>
    <xf numFmtId="164" fontId="0" fillId="0" borderId="10" xfId="0" applyNumberFormat="1" applyBorder="1"/>
    <xf numFmtId="0" fontId="1" fillId="0" borderId="1" xfId="0" applyFont="1" applyBorder="1"/>
    <xf numFmtId="14" fontId="1" fillId="0" borderId="0" xfId="0" applyNumberFormat="1" applyFont="1" applyAlignment="1">
      <alignment horizontal="center"/>
    </xf>
    <xf numFmtId="0" fontId="28" fillId="0" borderId="0" xfId="0" applyFont="1"/>
    <xf numFmtId="1" fontId="28" fillId="0" borderId="2" xfId="0" applyNumberFormat="1" applyFont="1" applyBorder="1" applyAlignment="1">
      <alignment horizontal="center"/>
    </xf>
    <xf numFmtId="39" fontId="28" fillId="0" borderId="0" xfId="0" applyNumberFormat="1" applyFont="1"/>
    <xf numFmtId="39" fontId="28" fillId="0" borderId="6" xfId="0" applyNumberFormat="1" applyFont="1" applyBorder="1"/>
    <xf numFmtId="1" fontId="28" fillId="0" borderId="7" xfId="0" applyNumberFormat="1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39" fontId="28" fillId="0" borderId="1" xfId="0" applyNumberFormat="1" applyFont="1" applyBorder="1" applyAlignment="1">
      <alignment horizontal="center"/>
    </xf>
    <xf numFmtId="42" fontId="28" fillId="0" borderId="0" xfId="0" applyNumberFormat="1" applyFont="1"/>
    <xf numFmtId="42" fontId="28" fillId="0" borderId="6" xfId="0" applyNumberFormat="1" applyFont="1" applyBorder="1"/>
    <xf numFmtId="0" fontId="34" fillId="0" borderId="0" xfId="0" applyFont="1" applyAlignment="1">
      <alignment horizontal="center"/>
    </xf>
    <xf numFmtId="0" fontId="34" fillId="0" borderId="1" xfId="0" applyFont="1" applyBorder="1" applyAlignment="1">
      <alignment horizontal="center"/>
    </xf>
    <xf numFmtId="0" fontId="28" fillId="0" borderId="1" xfId="0" applyFont="1" applyBorder="1"/>
    <xf numFmtId="39" fontId="28" fillId="0" borderId="1" xfId="0" applyNumberFormat="1" applyFont="1" applyBorder="1"/>
    <xf numFmtId="39" fontId="28" fillId="0" borderId="8" xfId="0" applyNumberFormat="1" applyFont="1" applyBorder="1"/>
    <xf numFmtId="1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39" fontId="28" fillId="0" borderId="0" xfId="0" applyNumberFormat="1" applyFont="1" applyAlignment="1">
      <alignment horizontal="center"/>
    </xf>
    <xf numFmtId="165" fontId="4" fillId="0" borderId="0" xfId="1" applyNumberFormat="1" applyFont="1" applyAlignment="1">
      <alignment horizontal="left"/>
    </xf>
    <xf numFmtId="176" fontId="4" fillId="0" borderId="0" xfId="1" applyNumberFormat="1" applyFont="1"/>
    <xf numFmtId="0" fontId="24" fillId="0" borderId="0" xfId="0" applyFont="1"/>
    <xf numFmtId="0" fontId="1" fillId="0" borderId="4" xfId="0" applyFont="1" applyBorder="1"/>
    <xf numFmtId="0" fontId="24" fillId="0" borderId="4" xfId="0" applyFont="1" applyBorder="1"/>
    <xf numFmtId="0" fontId="1" fillId="0" borderId="5" xfId="0" applyFont="1" applyBorder="1"/>
    <xf numFmtId="0" fontId="1" fillId="0" borderId="8" xfId="0" applyFont="1" applyBorder="1"/>
    <xf numFmtId="44" fontId="1" fillId="0" borderId="0" xfId="4" applyFont="1" applyBorder="1" applyAlignment="1"/>
    <xf numFmtId="0" fontId="1" fillId="0" borderId="6" xfId="0" applyFont="1" applyBorder="1"/>
    <xf numFmtId="44" fontId="1" fillId="0" borderId="0" xfId="0" applyNumberFormat="1" applyFont="1"/>
    <xf numFmtId="177" fontId="1" fillId="0" borderId="0" xfId="0" applyNumberFormat="1" applyFont="1"/>
    <xf numFmtId="44" fontId="28" fillId="0" borderId="0" xfId="0" applyNumberFormat="1" applyFont="1"/>
    <xf numFmtId="165" fontId="1" fillId="0" borderId="2" xfId="5" applyNumberFormat="1" applyFont="1" applyBorder="1" applyAlignment="1"/>
    <xf numFmtId="177" fontId="1" fillId="0" borderId="1" xfId="0" applyNumberFormat="1" applyFont="1" applyBorder="1"/>
    <xf numFmtId="44" fontId="0" fillId="0" borderId="0" xfId="4" applyFont="1" applyBorder="1"/>
    <xf numFmtId="171" fontId="0" fillId="0" borderId="0" xfId="4" applyNumberFormat="1" applyFont="1" applyBorder="1"/>
    <xf numFmtId="43" fontId="0" fillId="0" borderId="0" xfId="5" applyFont="1"/>
    <xf numFmtId="43" fontId="40" fillId="0" borderId="0" xfId="5" applyFont="1" applyFill="1"/>
    <xf numFmtId="10" fontId="40" fillId="0" borderId="0" xfId="6" applyNumberFormat="1" applyFont="1" applyFill="1" applyBorder="1"/>
    <xf numFmtId="43" fontId="40" fillId="0" borderId="1" xfId="5" applyFont="1" applyFill="1" applyBorder="1"/>
    <xf numFmtId="166" fontId="40" fillId="0" borderId="0" xfId="6" applyNumberFormat="1" applyFont="1" applyFill="1" applyBorder="1"/>
    <xf numFmtId="165" fontId="30" fillId="0" borderId="0" xfId="5" applyNumberFormat="1" applyFont="1" applyFill="1" applyAlignment="1">
      <alignment vertical="center"/>
    </xf>
    <xf numFmtId="37" fontId="15" fillId="0" borderId="0" xfId="1" applyNumberFormat="1" applyFont="1" applyFill="1" applyBorder="1" applyAlignment="1">
      <alignment vertical="center"/>
    </xf>
    <xf numFmtId="37" fontId="25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  <xf numFmtId="0" fontId="49" fillId="0" borderId="0" xfId="0" applyFont="1"/>
    <xf numFmtId="43" fontId="49" fillId="0" borderId="0" xfId="1" applyFont="1"/>
    <xf numFmtId="0" fontId="49" fillId="0" borderId="0" xfId="0" applyFont="1" applyAlignment="1">
      <alignment horizontal="center"/>
    </xf>
    <xf numFmtId="43" fontId="49" fillId="0" borderId="0" xfId="1" applyFont="1" applyFill="1"/>
    <xf numFmtId="43" fontId="48" fillId="0" borderId="0" xfId="1" applyFont="1" applyFill="1"/>
    <xf numFmtId="37" fontId="0" fillId="0" borderId="1" xfId="0" applyNumberFormat="1" applyBorder="1"/>
    <xf numFmtId="39" fontId="34" fillId="0" borderId="1" xfId="0" applyNumberFormat="1" applyFont="1" applyBorder="1"/>
    <xf numFmtId="39" fontId="34" fillId="0" borderId="10" xfId="0" applyNumberFormat="1" applyFont="1" applyBorder="1"/>
    <xf numFmtId="0" fontId="34" fillId="0" borderId="0" xfId="0" applyFont="1"/>
    <xf numFmtId="37" fontId="34" fillId="0" borderId="0" xfId="0" applyNumberFormat="1" applyFont="1"/>
    <xf numFmtId="44" fontId="34" fillId="0" borderId="0" xfId="0" applyNumberFormat="1" applyFont="1"/>
    <xf numFmtId="39" fontId="34" fillId="0" borderId="0" xfId="0" applyNumberFormat="1" applyFont="1"/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1" fillId="0" borderId="0" xfId="0" applyFont="1"/>
    <xf numFmtId="43" fontId="51" fillId="0" borderId="0" xfId="1" applyFont="1"/>
    <xf numFmtId="0" fontId="52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14" fontId="50" fillId="0" borderId="0" xfId="0" applyNumberFormat="1" applyFont="1" applyAlignment="1">
      <alignment horizontal="center"/>
    </xf>
    <xf numFmtId="14" fontId="53" fillId="0" borderId="0" xfId="0" applyNumberFormat="1" applyFont="1" applyAlignment="1">
      <alignment horizontal="center"/>
    </xf>
    <xf numFmtId="0" fontId="50" fillId="0" borderId="0" xfId="0" applyFont="1"/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39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43" fontId="50" fillId="0" borderId="0" xfId="1" applyFont="1"/>
    <xf numFmtId="0" fontId="51" fillId="0" borderId="0" xfId="0" applyFont="1" applyAlignment="1">
      <alignment horizontal="center"/>
    </xf>
    <xf numFmtId="43" fontId="52" fillId="0" borderId="0" xfId="1" applyFont="1" applyFill="1"/>
    <xf numFmtId="43" fontId="50" fillId="0" borderId="0" xfId="1" applyFont="1" applyFill="1"/>
    <xf numFmtId="43" fontId="51" fillId="0" borderId="0" xfId="1" applyFont="1" applyFill="1"/>
    <xf numFmtId="43" fontId="51" fillId="0" borderId="0" xfId="0" applyNumberFormat="1" applyFont="1"/>
    <xf numFmtId="0" fontId="52" fillId="0" borderId="0" xfId="0" applyFont="1"/>
    <xf numFmtId="0" fontId="51" fillId="2" borderId="0" xfId="0" applyFont="1" applyFill="1" applyAlignment="1">
      <alignment horizontal="center"/>
    </xf>
    <xf numFmtId="43" fontId="50" fillId="0" borderId="0" xfId="1" applyFont="1" applyBorder="1"/>
    <xf numFmtId="43" fontId="51" fillId="0" borderId="0" xfId="1" applyFont="1" applyBorder="1"/>
    <xf numFmtId="43" fontId="50" fillId="0" borderId="0" xfId="1" applyFont="1" applyFill="1" applyBorder="1"/>
    <xf numFmtId="43" fontId="51" fillId="0" borderId="0" xfId="1" applyFont="1" applyFill="1" applyBorder="1"/>
    <xf numFmtId="43" fontId="50" fillId="0" borderId="1" xfId="1" applyFont="1" applyBorder="1"/>
    <xf numFmtId="43" fontId="51" fillId="0" borderId="1" xfId="1" applyFont="1" applyBorder="1"/>
    <xf numFmtId="43" fontId="50" fillId="0" borderId="1" xfId="1" applyFont="1" applyFill="1" applyBorder="1"/>
    <xf numFmtId="43" fontId="51" fillId="0" borderId="1" xfId="1" applyFont="1" applyFill="1" applyBorder="1"/>
    <xf numFmtId="0" fontId="51" fillId="0" borderId="0" xfId="0" applyFont="1" applyAlignment="1">
      <alignment horizontal="right"/>
    </xf>
    <xf numFmtId="44" fontId="51" fillId="0" borderId="0" xfId="2" applyFont="1" applyFill="1" applyBorder="1"/>
    <xf numFmtId="44" fontId="51" fillId="0" borderId="0" xfId="0" applyNumberFormat="1" applyFont="1"/>
    <xf numFmtId="0" fontId="55" fillId="0" borderId="0" xfId="0" applyFont="1" applyAlignment="1">
      <alignment horizontal="left"/>
    </xf>
    <xf numFmtId="43" fontId="53" fillId="0" borderId="0" xfId="1" applyFont="1" applyFill="1"/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14" fontId="52" fillId="0" borderId="0" xfId="0" applyNumberFormat="1" applyFont="1" applyAlignment="1">
      <alignment horizontal="center"/>
    </xf>
    <xf numFmtId="4" fontId="52" fillId="0" borderId="0" xfId="0" applyNumberFormat="1" applyFont="1" applyAlignment="1">
      <alignment horizontal="center"/>
    </xf>
    <xf numFmtId="43" fontId="53" fillId="0" borderId="0" xfId="1" applyFont="1" applyFill="1" applyAlignment="1"/>
    <xf numFmtId="43" fontId="53" fillId="0" borderId="1" xfId="1" applyFont="1" applyFill="1" applyBorder="1"/>
    <xf numFmtId="43" fontId="52" fillId="0" borderId="1" xfId="1" applyFont="1" applyFill="1" applyBorder="1"/>
    <xf numFmtId="43" fontId="53" fillId="0" borderId="10" xfId="1" applyFont="1" applyFill="1" applyBorder="1"/>
    <xf numFmtId="43" fontId="52" fillId="0" borderId="10" xfId="1" applyFont="1" applyFill="1" applyBorder="1"/>
    <xf numFmtId="43" fontId="53" fillId="2" borderId="10" xfId="1" applyFont="1" applyFill="1" applyBorder="1"/>
    <xf numFmtId="43" fontId="53" fillId="0" borderId="0" xfId="1" applyFont="1" applyFill="1" applyBorder="1"/>
    <xf numFmtId="165" fontId="40" fillId="0" borderId="13" xfId="1" applyNumberFormat="1" applyFont="1" applyBorder="1" applyAlignment="1" applyProtection="1">
      <alignment horizontal="center"/>
      <protection locked="0"/>
    </xf>
    <xf numFmtId="43" fontId="40" fillId="0" borderId="12" xfId="1" applyFont="1" applyFill="1" applyBorder="1" applyAlignment="1" applyProtection="1">
      <protection locked="0"/>
    </xf>
    <xf numFmtId="43" fontId="40" fillId="0" borderId="13" xfId="1" applyFont="1" applyFill="1" applyBorder="1" applyAlignment="1" applyProtection="1">
      <protection locked="0"/>
    </xf>
    <xf numFmtId="165" fontId="40" fillId="0" borderId="14" xfId="1" applyNumberFormat="1" applyFont="1" applyBorder="1" applyAlignment="1" applyProtection="1">
      <alignment horizontal="center"/>
      <protection locked="0"/>
    </xf>
    <xf numFmtId="43" fontId="40" fillId="0" borderId="14" xfId="1" applyFont="1" applyFill="1" applyBorder="1" applyAlignment="1" applyProtection="1">
      <protection locked="0"/>
    </xf>
    <xf numFmtId="43" fontId="0" fillId="0" borderId="1" xfId="1" applyFont="1" applyBorder="1"/>
    <xf numFmtId="165" fontId="40" fillId="0" borderId="0" xfId="1" applyNumberFormat="1" applyFont="1" applyFill="1" applyBorder="1" applyAlignment="1" applyProtection="1">
      <alignment horizontal="center"/>
      <protection locked="0"/>
    </xf>
    <xf numFmtId="9" fontId="39" fillId="0" borderId="1" xfId="0" applyNumberFormat="1" applyFont="1" applyBorder="1" applyAlignment="1" applyProtection="1">
      <alignment horizontal="center"/>
      <protection locked="0"/>
    </xf>
    <xf numFmtId="43" fontId="0" fillId="0" borderId="11" xfId="1" applyFont="1" applyBorder="1" applyAlignment="1">
      <alignment horizontal="center"/>
    </xf>
    <xf numFmtId="0" fontId="44" fillId="0" borderId="13" xfId="0" applyFont="1" applyBorder="1" applyAlignment="1" applyProtection="1">
      <alignment horizontal="center"/>
      <protection locked="0"/>
    </xf>
    <xf numFmtId="0" fontId="39" fillId="0" borderId="13" xfId="0" applyFont="1" applyBorder="1" applyAlignment="1" applyProtection="1">
      <alignment horizontal="center"/>
      <protection locked="0"/>
    </xf>
    <xf numFmtId="39" fontId="49" fillId="0" borderId="0" xfId="0" applyNumberFormat="1" applyFont="1"/>
    <xf numFmtId="14" fontId="53" fillId="2" borderId="0" xfId="0" applyNumberFormat="1" applyFont="1" applyFill="1" applyAlignment="1">
      <alignment horizontal="center"/>
    </xf>
    <xf numFmtId="43" fontId="51" fillId="0" borderId="0" xfId="1" applyFont="1" applyAlignment="1">
      <alignment horizontal="center"/>
    </xf>
    <xf numFmtId="43" fontId="52" fillId="0" borderId="0" xfId="1" applyFont="1" applyAlignment="1">
      <alignment horizontal="center"/>
    </xf>
    <xf numFmtId="43" fontId="52" fillId="0" borderId="0" xfId="1" applyFont="1"/>
    <xf numFmtId="43" fontId="53" fillId="0" borderId="1" xfId="1" applyFont="1" applyFill="1" applyBorder="1" applyAlignment="1"/>
    <xf numFmtId="0" fontId="55" fillId="0" borderId="0" xfId="0" applyFont="1"/>
    <xf numFmtId="0" fontId="0" fillId="2" borderId="0" xfId="0" applyFill="1" applyAlignment="1">
      <alignment horizontal="center"/>
    </xf>
    <xf numFmtId="0" fontId="51" fillId="2" borderId="0" xfId="0" applyFont="1" applyFill="1" applyAlignment="1">
      <alignment horizontal="left"/>
    </xf>
    <xf numFmtId="43" fontId="50" fillId="2" borderId="0" xfId="1" applyFont="1" applyFill="1"/>
    <xf numFmtId="43" fontId="52" fillId="2" borderId="0" xfId="1" applyFont="1" applyFill="1"/>
    <xf numFmtId="43" fontId="51" fillId="2" borderId="0" xfId="1" applyFont="1" applyFill="1"/>
    <xf numFmtId="0" fontId="51" fillId="2" borderId="0" xfId="0" applyFont="1" applyFill="1"/>
    <xf numFmtId="39" fontId="51" fillId="0" borderId="0" xfId="0" applyNumberFormat="1" applyFont="1"/>
    <xf numFmtId="39" fontId="51" fillId="0" borderId="1" xfId="0" applyNumberFormat="1" applyFont="1" applyBorder="1" applyAlignment="1">
      <alignment horizontal="center"/>
    </xf>
    <xf numFmtId="39" fontId="51" fillId="0" borderId="0" xfId="0" applyNumberFormat="1" applyFont="1" applyAlignment="1">
      <alignment horizontal="center"/>
    </xf>
    <xf numFmtId="39" fontId="51" fillId="0" borderId="11" xfId="0" applyNumberFormat="1" applyFont="1" applyBorder="1" applyAlignment="1">
      <alignment horizontal="center"/>
    </xf>
    <xf numFmtId="164" fontId="1" fillId="0" borderId="0" xfId="4" applyNumberFormat="1" applyFont="1" applyFill="1"/>
    <xf numFmtId="175" fontId="28" fillId="0" borderId="0" xfId="0" applyNumberFormat="1" applyFont="1" applyAlignment="1">
      <alignment horizontal="center"/>
    </xf>
    <xf numFmtId="37" fontId="1" fillId="0" borderId="0" xfId="5" applyNumberFormat="1" applyFont="1"/>
    <xf numFmtId="37" fontId="1" fillId="0" borderId="1" xfId="5" applyNumberFormat="1" applyFont="1" applyBorder="1"/>
    <xf numFmtId="164" fontId="1" fillId="0" borderId="10" xfId="4" applyNumberFormat="1" applyFont="1" applyBorder="1"/>
    <xf numFmtId="44" fontId="34" fillId="0" borderId="0" xfId="4" applyFont="1" applyBorder="1"/>
    <xf numFmtId="37" fontId="1" fillId="0" borderId="0" xfId="5" applyNumberFormat="1" applyFont="1" applyBorder="1"/>
    <xf numFmtId="37" fontId="16" fillId="0" borderId="0" xfId="0" applyNumberFormat="1" applyFont="1"/>
    <xf numFmtId="169" fontId="16" fillId="0" borderId="0" xfId="0" applyNumberFormat="1" applyFont="1" applyAlignment="1">
      <alignment horizontal="center"/>
    </xf>
    <xf numFmtId="41" fontId="16" fillId="0" borderId="0" xfId="0" applyNumberFormat="1" applyFont="1"/>
    <xf numFmtId="178" fontId="16" fillId="0" borderId="0" xfId="0" applyNumberFormat="1" applyFont="1" applyAlignment="1">
      <alignment horizontal="center"/>
    </xf>
    <xf numFmtId="44" fontId="16" fillId="0" borderId="0" xfId="0" applyNumberFormat="1" applyFont="1"/>
    <xf numFmtId="44" fontId="58" fillId="0" borderId="10" xfId="0" applyNumberFormat="1" applyFont="1" applyBorder="1"/>
    <xf numFmtId="0" fontId="59" fillId="0" borderId="0" xfId="0" applyFont="1"/>
    <xf numFmtId="39" fontId="16" fillId="0" borderId="10" xfId="0" applyNumberFormat="1" applyFont="1" applyBorder="1"/>
    <xf numFmtId="39" fontId="58" fillId="0" borderId="0" xfId="0" applyNumberFormat="1" applyFont="1"/>
    <xf numFmtId="0" fontId="23" fillId="0" borderId="0" xfId="0" applyFont="1"/>
    <xf numFmtId="0" fontId="60" fillId="0" borderId="0" xfId="0" applyFont="1" applyAlignment="1">
      <alignment horizontal="center"/>
    </xf>
    <xf numFmtId="37" fontId="61" fillId="0" borderId="0" xfId="0" applyNumberFormat="1" applyFont="1"/>
    <xf numFmtId="165" fontId="1" fillId="0" borderId="0" xfId="0" applyNumberFormat="1" applyFont="1" applyAlignment="1">
      <alignment horizontal="left" vertical="center"/>
    </xf>
    <xf numFmtId="10" fontId="0" fillId="0" borderId="0" xfId="6" applyNumberFormat="1" applyFont="1" applyBorder="1" applyAlignment="1">
      <alignment horizontal="center"/>
    </xf>
    <xf numFmtId="10" fontId="1" fillId="0" borderId="1" xfId="6" applyNumberFormat="1" applyFont="1" applyBorder="1" applyAlignment="1">
      <alignment horizontal="center"/>
    </xf>
    <xf numFmtId="0" fontId="15" fillId="0" borderId="3" xfId="0" applyFont="1" applyBorder="1"/>
    <xf numFmtId="3" fontId="15" fillId="0" borderId="4" xfId="0" applyNumberFormat="1" applyFont="1" applyBorder="1"/>
    <xf numFmtId="3" fontId="15" fillId="0" borderId="4" xfId="0" applyNumberFormat="1" applyFont="1" applyBorder="1" applyAlignment="1">
      <alignment horizontal="center"/>
    </xf>
    <xf numFmtId="3" fontId="15" fillId="0" borderId="5" xfId="0" applyNumberFormat="1" applyFont="1" applyBorder="1"/>
    <xf numFmtId="3" fontId="15" fillId="0" borderId="0" xfId="0" applyNumberFormat="1" applyFont="1"/>
    <xf numFmtId="165" fontId="15" fillId="0" borderId="0" xfId="1" applyNumberFormat="1" applyFont="1" applyFill="1" applyAlignment="1"/>
    <xf numFmtId="0" fontId="15" fillId="0" borderId="0" xfId="0" applyFont="1"/>
    <xf numFmtId="0" fontId="15" fillId="0" borderId="2" xfId="0" applyFont="1" applyBorder="1"/>
    <xf numFmtId="3" fontId="29" fillId="0" borderId="0" xfId="0" applyNumberFormat="1" applyFont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3" fontId="15" fillId="0" borderId="0" xfId="0" applyNumberFormat="1" applyFont="1" applyAlignment="1">
      <alignment vertical="center"/>
    </xf>
    <xf numFmtId="165" fontId="15" fillId="0" borderId="0" xfId="1" applyNumberFormat="1" applyFont="1" applyFill="1" applyAlignment="1">
      <alignment vertical="center"/>
    </xf>
    <xf numFmtId="3" fontId="15" fillId="0" borderId="0" xfId="0" applyNumberFormat="1" applyFont="1" applyAlignment="1">
      <alignment horizontal="center" vertical="center"/>
    </xf>
    <xf numFmtId="0" fontId="15" fillId="0" borderId="7" xfId="0" applyFont="1" applyBorder="1"/>
    <xf numFmtId="3" fontId="15" fillId="0" borderId="1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3" fontId="29" fillId="0" borderId="6" xfId="0" applyNumberFormat="1" applyFont="1" applyBorder="1" applyAlignment="1">
      <alignment horizontal="center" vertical="center"/>
    </xf>
    <xf numFmtId="3" fontId="29" fillId="0" borderId="0" xfId="0" applyNumberFormat="1" applyFont="1" applyAlignment="1">
      <alignment vertical="center"/>
    </xf>
    <xf numFmtId="3" fontId="15" fillId="0" borderId="6" xfId="0" applyNumberFormat="1" applyFont="1" applyBorder="1" applyAlignment="1">
      <alignment vertical="center"/>
    </xf>
    <xf numFmtId="164" fontId="15" fillId="0" borderId="6" xfId="0" applyNumberFormat="1" applyFont="1" applyBorder="1" applyAlignment="1">
      <alignment vertical="center"/>
    </xf>
    <xf numFmtId="37" fontId="15" fillId="0" borderId="1" xfId="1" applyNumberFormat="1" applyFont="1" applyFill="1" applyBorder="1" applyAlignment="1">
      <alignment vertical="center"/>
    </xf>
    <xf numFmtId="165" fontId="30" fillId="0" borderId="0" xfId="1" applyNumberFormat="1" applyFont="1" applyFill="1" applyAlignment="1">
      <alignment vertical="center"/>
    </xf>
    <xf numFmtId="37" fontId="15" fillId="0" borderId="0" xfId="0" applyNumberFormat="1" applyFont="1" applyAlignment="1">
      <alignment horizontal="center" vertical="center"/>
    </xf>
    <xf numFmtId="165" fontId="15" fillId="0" borderId="6" xfId="1" applyNumberFormat="1" applyFont="1" applyFill="1" applyBorder="1" applyAlignment="1">
      <alignment vertical="center"/>
    </xf>
    <xf numFmtId="10" fontId="15" fillId="0" borderId="0" xfId="3" applyNumberFormat="1" applyFont="1" applyFill="1" applyAlignment="1">
      <alignment vertical="center"/>
    </xf>
    <xf numFmtId="164" fontId="15" fillId="0" borderId="0" xfId="2" applyNumberFormat="1" applyFont="1" applyFill="1" applyAlignment="1">
      <alignment vertical="center"/>
    </xf>
    <xf numFmtId="165" fontId="32" fillId="0" borderId="6" xfId="1" applyNumberFormat="1" applyFont="1" applyFill="1" applyBorder="1" applyAlignment="1">
      <alignment vertical="center"/>
    </xf>
    <xf numFmtId="0" fontId="15" fillId="0" borderId="0" xfId="0" applyFont="1" applyAlignment="1">
      <alignment horizontal="left" indent="1"/>
    </xf>
    <xf numFmtId="37" fontId="15" fillId="0" borderId="11" xfId="1" applyNumberFormat="1" applyFont="1" applyFill="1" applyBorder="1" applyAlignment="1">
      <alignment vertical="center"/>
    </xf>
    <xf numFmtId="37" fontId="15" fillId="0" borderId="6" xfId="0" applyNumberFormat="1" applyFont="1" applyBorder="1" applyAlignment="1">
      <alignment vertical="center"/>
    </xf>
    <xf numFmtId="165" fontId="32" fillId="0" borderId="0" xfId="1" applyNumberFormat="1" applyFont="1" applyFill="1" applyAlignment="1">
      <alignment vertical="center"/>
    </xf>
    <xf numFmtId="37" fontId="15" fillId="0" borderId="0" xfId="0" applyNumberFormat="1" applyFont="1" applyAlignment="1">
      <alignment horizontal="center"/>
    </xf>
    <xf numFmtId="165" fontId="33" fillId="0" borderId="0" xfId="1" applyNumberFormat="1" applyFont="1" applyFill="1" applyAlignment="1">
      <alignment vertical="center"/>
    </xf>
    <xf numFmtId="165" fontId="31" fillId="0" borderId="0" xfId="1" applyNumberFormat="1" applyFont="1" applyFill="1" applyAlignment="1">
      <alignment vertical="center"/>
    </xf>
    <xf numFmtId="165" fontId="15" fillId="0" borderId="0" xfId="1" applyNumberFormat="1" applyFont="1" applyFill="1"/>
    <xf numFmtId="37" fontId="15" fillId="0" borderId="1" xfId="0" applyNumberFormat="1" applyFont="1" applyBorder="1" applyAlignment="1">
      <alignment vertical="center"/>
    </xf>
    <xf numFmtId="37" fontId="15" fillId="0" borderId="1" xfId="1" applyNumberFormat="1" applyFont="1" applyFill="1" applyBorder="1" applyAlignment="1"/>
    <xf numFmtId="37" fontId="15" fillId="0" borderId="0" xfId="1" applyNumberFormat="1" applyFont="1" applyFill="1" applyBorder="1" applyAlignment="1"/>
    <xf numFmtId="164" fontId="15" fillId="0" borderId="10" xfId="0" applyNumberFormat="1" applyFont="1" applyBorder="1" applyAlignment="1">
      <alignment vertical="center"/>
    </xf>
    <xf numFmtId="3" fontId="15" fillId="0" borderId="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5" fontId="15" fillId="0" borderId="0" xfId="5" applyNumberFormat="1" applyFont="1" applyFill="1" applyBorder="1"/>
    <xf numFmtId="165" fontId="15" fillId="0" borderId="6" xfId="1" applyNumberFormat="1" applyFont="1" applyFill="1" applyBorder="1"/>
    <xf numFmtId="165" fontId="15" fillId="0" borderId="1" xfId="1" applyNumberFormat="1" applyFont="1" applyFill="1" applyBorder="1" applyAlignment="1">
      <alignment vertical="center"/>
    </xf>
    <xf numFmtId="165" fontId="15" fillId="0" borderId="0" xfId="1" quotePrefix="1" applyNumberFormat="1" applyFont="1" applyFill="1" applyAlignment="1">
      <alignment vertical="center"/>
    </xf>
    <xf numFmtId="165" fontId="15" fillId="0" borderId="0" xfId="1" quotePrefix="1" applyNumberFormat="1" applyFont="1" applyFill="1" applyBorder="1" applyAlignment="1">
      <alignment vertical="center"/>
    </xf>
    <xf numFmtId="165" fontId="15" fillId="0" borderId="6" xfId="1" quotePrefix="1" applyNumberFormat="1" applyFont="1" applyFill="1" applyBorder="1" applyAlignment="1">
      <alignment vertical="center"/>
    </xf>
    <xf numFmtId="165" fontId="15" fillId="0" borderId="0" xfId="1" applyNumberFormat="1" applyFont="1" applyFill="1" applyBorder="1" applyAlignment="1"/>
    <xf numFmtId="165" fontId="15" fillId="0" borderId="0" xfId="1" applyNumberFormat="1" applyFont="1" applyFill="1" applyBorder="1" applyAlignment="1">
      <alignment vertical="center"/>
    </xf>
    <xf numFmtId="37" fontId="15" fillId="0" borderId="0" xfId="0" applyNumberFormat="1" applyFont="1"/>
    <xf numFmtId="165" fontId="15" fillId="0" borderId="0" xfId="1" applyNumberFormat="1" applyFont="1" applyFill="1" applyAlignment="1">
      <alignment horizontal="right" vertical="center"/>
    </xf>
    <xf numFmtId="37" fontId="15" fillId="0" borderId="1" xfId="0" applyNumberFormat="1" applyFont="1" applyBorder="1"/>
    <xf numFmtId="164" fontId="15" fillId="0" borderId="6" xfId="2" applyNumberFormat="1" applyFont="1" applyFill="1" applyBorder="1" applyAlignment="1">
      <alignment vertical="center"/>
    </xf>
    <xf numFmtId="164" fontId="15" fillId="0" borderId="0" xfId="2" applyNumberFormat="1" applyFont="1" applyFill="1" applyBorder="1" applyAlignment="1">
      <alignment vertical="center"/>
    </xf>
    <xf numFmtId="164" fontId="15" fillId="0" borderId="9" xfId="0" applyNumberFormat="1" applyFont="1" applyBorder="1" applyAlignment="1">
      <alignment vertical="center"/>
    </xf>
    <xf numFmtId="3" fontId="15" fillId="0" borderId="6" xfId="0" applyNumberFormat="1" applyFont="1" applyBorder="1"/>
    <xf numFmtId="3" fontId="30" fillId="0" borderId="0" xfId="0" applyNumberFormat="1" applyFont="1"/>
    <xf numFmtId="3" fontId="15" fillId="0" borderId="1" xfId="0" applyNumberFormat="1" applyFont="1" applyBorder="1"/>
    <xf numFmtId="3" fontId="15" fillId="0" borderId="1" xfId="0" applyNumberFormat="1" applyFont="1" applyBorder="1" applyAlignment="1">
      <alignment horizontal="center"/>
    </xf>
    <xf numFmtId="3" fontId="15" fillId="0" borderId="8" xfId="0" applyNumberFormat="1" applyFont="1" applyBorder="1"/>
    <xf numFmtId="3" fontId="15" fillId="0" borderId="0" xfId="0" applyNumberFormat="1" applyFont="1" applyAlignment="1">
      <alignment horizontal="center"/>
    </xf>
    <xf numFmtId="0" fontId="40" fillId="0" borderId="0" xfId="0" applyFont="1"/>
    <xf numFmtId="44" fontId="40" fillId="0" borderId="0" xfId="0" applyNumberFormat="1" applyFont="1"/>
    <xf numFmtId="43" fontId="40" fillId="0" borderId="1" xfId="0" applyNumberFormat="1" applyFont="1" applyBorder="1"/>
    <xf numFmtId="44" fontId="40" fillId="0" borderId="9" xfId="0" applyNumberFormat="1" applyFont="1" applyBorder="1"/>
    <xf numFmtId="165" fontId="40" fillId="0" borderId="0" xfId="0" applyNumberFormat="1" applyFont="1"/>
    <xf numFmtId="165" fontId="40" fillId="0" borderId="1" xfId="0" applyNumberFormat="1" applyFont="1" applyBorder="1"/>
    <xf numFmtId="10" fontId="40" fillId="0" borderId="1" xfId="3" applyNumberFormat="1" applyFont="1" applyFill="1" applyBorder="1"/>
    <xf numFmtId="164" fontId="40" fillId="0" borderId="9" xfId="0" applyNumberFormat="1" applyFont="1" applyBorder="1"/>
    <xf numFmtId="166" fontId="40" fillId="0" borderId="10" xfId="6" applyNumberFormat="1" applyFont="1" applyFill="1" applyBorder="1"/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9" fontId="40" fillId="0" borderId="0" xfId="0" applyNumberFormat="1" applyFont="1"/>
    <xf numFmtId="10" fontId="40" fillId="0" borderId="0" xfId="0" applyNumberFormat="1" applyFont="1"/>
    <xf numFmtId="43" fontId="40" fillId="0" borderId="0" xfId="0" applyNumberFormat="1" applyFont="1"/>
    <xf numFmtId="9" fontId="1" fillId="0" borderId="0" xfId="0" applyNumberFormat="1" applyFont="1"/>
    <xf numFmtId="10" fontId="40" fillId="0" borderId="0" xfId="0" applyNumberFormat="1" applyFont="1" applyAlignment="1">
      <alignment horizontal="left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43" fontId="43" fillId="0" borderId="1" xfId="0" applyNumberFormat="1" applyFont="1" applyBorder="1"/>
    <xf numFmtId="44" fontId="40" fillId="0" borderId="10" xfId="0" applyNumberFormat="1" applyFont="1" applyBorder="1"/>
    <xf numFmtId="44" fontId="43" fillId="0" borderId="10" xfId="0" applyNumberFormat="1" applyFont="1" applyBorder="1"/>
    <xf numFmtId="44" fontId="43" fillId="0" borderId="0" xfId="0" applyNumberFormat="1" applyFont="1"/>
    <xf numFmtId="176" fontId="4" fillId="0" borderId="1" xfId="1" applyNumberFormat="1" applyFont="1" applyBorder="1"/>
    <xf numFmtId="165" fontId="4" fillId="0" borderId="10" xfId="1" applyNumberFormat="1" applyFont="1" applyBorder="1"/>
    <xf numFmtId="165" fontId="4" fillId="0" borderId="1" xfId="1" applyNumberFormat="1" applyFont="1" applyBorder="1" applyAlignment="1">
      <alignment horizontal="center"/>
    </xf>
    <xf numFmtId="167" fontId="4" fillId="0" borderId="1" xfId="6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9" fontId="16" fillId="0" borderId="11" xfId="0" applyNumberFormat="1" applyFont="1" applyBorder="1"/>
    <xf numFmtId="44" fontId="0" fillId="0" borderId="1" xfId="0" applyNumberFormat="1" applyBorder="1"/>
    <xf numFmtId="0" fontId="61" fillId="0" borderId="0" xfId="0" applyFont="1"/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10" fontId="15" fillId="0" borderId="0" xfId="3" applyNumberFormat="1" applyFont="1" applyFill="1" applyBorder="1" applyAlignment="1">
      <alignment vertical="center"/>
    </xf>
    <xf numFmtId="165" fontId="8" fillId="0" borderId="2" xfId="5" applyNumberFormat="1" applyFont="1" applyBorder="1" applyAlignment="1"/>
    <xf numFmtId="10" fontId="0" fillId="0" borderId="0" xfId="6" applyNumberFormat="1" applyFont="1" applyBorder="1"/>
    <xf numFmtId="10" fontId="0" fillId="0" borderId="0" xfId="0" applyNumberFormat="1"/>
    <xf numFmtId="10" fontId="0" fillId="0" borderId="1" xfId="6" applyNumberFormat="1" applyFont="1" applyBorder="1"/>
    <xf numFmtId="9" fontId="0" fillId="0" borderId="0" xfId="0" applyNumberFormat="1"/>
    <xf numFmtId="0" fontId="7" fillId="0" borderId="0" xfId="0" applyFont="1" applyAlignment="1">
      <alignment horizontal="center"/>
    </xf>
    <xf numFmtId="44" fontId="0" fillId="0" borderId="10" xfId="0" applyNumberFormat="1" applyBorder="1"/>
    <xf numFmtId="1" fontId="16" fillId="0" borderId="4" xfId="0" applyNumberFormat="1" applyFont="1" applyBorder="1" applyAlignment="1">
      <alignment horizontal="center"/>
    </xf>
    <xf numFmtId="0" fontId="16" fillId="0" borderId="4" xfId="0" applyFont="1" applyBorder="1"/>
    <xf numFmtId="39" fontId="16" fillId="0" borderId="4" xfId="0" applyNumberFormat="1" applyFont="1" applyBorder="1"/>
    <xf numFmtId="168" fontId="16" fillId="0" borderId="4" xfId="0" applyNumberFormat="1" applyFont="1" applyBorder="1" applyAlignment="1">
      <alignment horizontal="center"/>
    </xf>
    <xf numFmtId="3" fontId="15" fillId="0" borderId="0" xfId="0" applyNumberFormat="1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43" fontId="32" fillId="0" borderId="4" xfId="1" applyFont="1" applyFill="1" applyBorder="1" applyAlignment="1">
      <alignment horizontal="center" vertical="center"/>
    </xf>
    <xf numFmtId="0" fontId="50" fillId="0" borderId="1" xfId="0" applyFont="1" applyBorder="1" applyAlignment="1">
      <alignment horizontal="center"/>
    </xf>
    <xf numFmtId="39" fontId="51" fillId="0" borderId="1" xfId="0" applyNumberFormat="1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10" fontId="40" fillId="0" borderId="1" xfId="3" applyNumberFormat="1" applyFont="1" applyFill="1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28" fillId="0" borderId="2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6" xfId="0" applyFont="1" applyBorder="1" applyAlignment="1">
      <alignment horizontal="center"/>
    </xf>
    <xf numFmtId="3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3" fontId="26" fillId="0" borderId="4" xfId="0" applyNumberFormat="1" applyFont="1" applyBorder="1" applyAlignment="1">
      <alignment horizontal="center"/>
    </xf>
    <xf numFmtId="165" fontId="15" fillId="0" borderId="1" xfId="5" applyNumberFormat="1" applyFont="1" applyBorder="1" applyAlignment="1">
      <alignment horizontal="center"/>
    </xf>
    <xf numFmtId="165" fontId="17" fillId="0" borderId="0" xfId="5" applyNumberFormat="1" applyFont="1" applyBorder="1" applyAlignment="1">
      <alignment horizontal="center"/>
    </xf>
    <xf numFmtId="165" fontId="17" fillId="0" borderId="6" xfId="5" applyNumberFormat="1" applyFont="1" applyBorder="1" applyAlignment="1">
      <alignment horizontal="center"/>
    </xf>
    <xf numFmtId="165" fontId="18" fillId="0" borderId="0" xfId="5" applyNumberFormat="1" applyFont="1" applyBorder="1" applyAlignment="1">
      <alignment horizontal="center"/>
    </xf>
    <xf numFmtId="3" fontId="17" fillId="0" borderId="0" xfId="0" applyNumberFormat="1" applyFont="1" applyAlignment="1">
      <alignment horizontal="center" vertical="center"/>
    </xf>
    <xf numFmtId="165" fontId="1" fillId="0" borderId="0" xfId="5" applyNumberFormat="1" applyFont="1" applyBorder="1" applyAlignment="1">
      <alignment horizontal="center"/>
    </xf>
    <xf numFmtId="174" fontId="35" fillId="0" borderId="1" xfId="2" applyNumberFormat="1" applyFont="1" applyBorder="1" applyAlignment="1">
      <alignment horizontal="center"/>
    </xf>
    <xf numFmtId="174" fontId="35" fillId="0" borderId="8" xfId="2" applyNumberFormat="1" applyFont="1" applyBorder="1" applyAlignment="1">
      <alignment horizontal="center"/>
    </xf>
    <xf numFmtId="174" fontId="35" fillId="0" borderId="7" xfId="2" applyNumberFormat="1" applyFont="1" applyFill="1" applyBorder="1" applyAlignment="1">
      <alignment horizontal="center"/>
    </xf>
    <xf numFmtId="174" fontId="35" fillId="0" borderId="1" xfId="2" applyNumberFormat="1" applyFont="1" applyFill="1" applyBorder="1" applyAlignment="1">
      <alignment horizontal="center"/>
    </xf>
    <xf numFmtId="174" fontId="35" fillId="0" borderId="8" xfId="2" applyNumberFormat="1" applyFont="1" applyFill="1" applyBorder="1" applyAlignment="1">
      <alignment horizontal="center"/>
    </xf>
    <xf numFmtId="174" fontId="36" fillId="0" borderId="7" xfId="2" applyNumberFormat="1" applyFont="1" applyFill="1" applyBorder="1" applyAlignment="1">
      <alignment horizontal="center"/>
    </xf>
    <xf numFmtId="174" fontId="36" fillId="0" borderId="1" xfId="2" applyNumberFormat="1" applyFont="1" applyFill="1" applyBorder="1" applyAlignment="1">
      <alignment horizontal="center"/>
    </xf>
    <xf numFmtId="174" fontId="36" fillId="0" borderId="8" xfId="2" applyNumberFormat="1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6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6" xfId="0" applyFont="1" applyBorder="1" applyAlignment="1">
      <alignment horizontal="center"/>
    </xf>
    <xf numFmtId="167" fontId="35" fillId="0" borderId="0" xfId="3" applyNumberFormat="1" applyFont="1" applyBorder="1" applyAlignment="1">
      <alignment horizontal="center"/>
    </xf>
    <xf numFmtId="167" fontId="35" fillId="0" borderId="6" xfId="3" applyNumberFormat="1" applyFont="1" applyBorder="1" applyAlignment="1">
      <alignment horizontal="center"/>
    </xf>
    <xf numFmtId="167" fontId="35" fillId="0" borderId="2" xfId="3" applyNumberFormat="1" applyFont="1" applyBorder="1" applyAlignment="1">
      <alignment horizontal="center"/>
    </xf>
    <xf numFmtId="10" fontId="36" fillId="0" borderId="2" xfId="3" applyNumberFormat="1" applyFont="1" applyBorder="1" applyAlignment="1">
      <alignment horizontal="center"/>
    </xf>
    <xf numFmtId="10" fontId="36" fillId="0" borderId="0" xfId="3" applyNumberFormat="1" applyFont="1" applyBorder="1" applyAlignment="1">
      <alignment horizontal="center"/>
    </xf>
    <xf numFmtId="10" fontId="36" fillId="0" borderId="6" xfId="3" applyNumberFormat="1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36" fillId="0" borderId="4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6" xfId="0" applyFont="1" applyBorder="1" applyAlignment="1">
      <alignment horizontal="center"/>
    </xf>
    <xf numFmtId="3" fontId="22" fillId="0" borderId="0" xfId="0" applyNumberFormat="1" applyFont="1" applyAlignment="1">
      <alignment horizontal="center" vertical="center"/>
    </xf>
    <xf numFmtId="3" fontId="22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6" xfId="0" applyFont="1" applyBorder="1" applyAlignment="1">
      <alignment horizontal="center"/>
    </xf>
    <xf numFmtId="3" fontId="47" fillId="0" borderId="0" xfId="0" applyNumberFormat="1" applyFont="1" applyAlignment="1">
      <alignment horizontal="center" vertical="center"/>
    </xf>
    <xf numFmtId="3" fontId="47" fillId="0" borderId="6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3" fontId="25" fillId="0" borderId="0" xfId="0" applyNumberFormat="1" applyFont="1" applyAlignment="1">
      <alignment horizontal="center"/>
    </xf>
    <xf numFmtId="3" fontId="26" fillId="0" borderId="0" xfId="0" applyNumberFormat="1" applyFont="1" applyAlignment="1">
      <alignment horizontal="center"/>
    </xf>
    <xf numFmtId="37" fontId="25" fillId="0" borderId="0" xfId="0" applyNumberFormat="1" applyFont="1" applyAlignment="1">
      <alignment horizontal="center"/>
    </xf>
    <xf numFmtId="37" fontId="26" fillId="0" borderId="0" xfId="0" applyNumberFormat="1" applyFont="1" applyAlignment="1">
      <alignment horizontal="center"/>
    </xf>
    <xf numFmtId="37" fontId="25" fillId="0" borderId="4" xfId="0" applyNumberFormat="1" applyFont="1" applyBorder="1" applyAlignment="1">
      <alignment horizontal="center"/>
    </xf>
    <xf numFmtId="37" fontId="1" fillId="0" borderId="1" xfId="0" applyNumberFormat="1" applyFont="1" applyBorder="1" applyAlignment="1">
      <alignment horizontal="center"/>
    </xf>
  </cellXfs>
  <cellStyles count="7">
    <cellStyle name="Comma" xfId="1" builtinId="3"/>
    <cellStyle name="Comma 2" xfId="5" xr:uid="{00000000-0005-0000-0000-000001000000}"/>
    <cellStyle name="Currency" xfId="2" builtinId="4"/>
    <cellStyle name="Currency 2" xfId="4" xr:uid="{00000000-0005-0000-0000-000003000000}"/>
    <cellStyle name="Normal" xfId="0" builtinId="0"/>
    <cellStyle name="Percent" xfId="3" builtinId="5"/>
    <cellStyle name="Percent 2" xfId="6" xr:uid="{00000000-0005-0000-0000-000006000000}"/>
  </cellStyles>
  <dxfs count="0"/>
  <tableStyles count="0" defaultTableStyle="TableStyleMedium9" defaultPivotStyle="PivotStyleLight16"/>
  <colors>
    <mruColors>
      <color rgb="FFFFFFCC"/>
      <color rgb="FF59B589"/>
      <color rgb="FFFFFF99"/>
      <color rgb="FFCCFFCC"/>
      <color rgb="FFFFCC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Y64"/>
  <sheetViews>
    <sheetView showGridLines="0" tabSelected="1" zoomScale="136" zoomScaleNormal="136" workbookViewId="0">
      <selection activeCell="C4" sqref="C4:L4"/>
    </sheetView>
  </sheetViews>
  <sheetFormatPr defaultColWidth="8.88671875" defaultRowHeight="13.5" x14ac:dyDescent="0.35"/>
  <cols>
    <col min="1" max="1" width="3.5546875" style="351" customWidth="1"/>
    <col min="2" max="2" width="1.77734375" style="351" customWidth="1"/>
    <col min="3" max="3" width="3.6640625" style="349" customWidth="1"/>
    <col min="4" max="4" width="2.6640625" style="349" customWidth="1"/>
    <col min="5" max="5" width="27.33203125" style="349" customWidth="1"/>
    <col min="6" max="6" width="13.77734375" style="349" customWidth="1"/>
    <col min="7" max="7" width="1.77734375" style="349" customWidth="1"/>
    <col min="8" max="8" width="13.77734375" style="349" customWidth="1"/>
    <col min="9" max="9" width="1.77734375" style="349" customWidth="1"/>
    <col min="10" max="10" width="4.88671875" style="405" customWidth="1"/>
    <col min="11" max="11" width="1.77734375" style="405" customWidth="1"/>
    <col min="12" max="12" width="13.77734375" style="349" customWidth="1"/>
    <col min="13" max="13" width="1.5546875" style="349" customWidth="1"/>
    <col min="14" max="14" width="9.6640625" style="349" customWidth="1"/>
    <col min="15" max="15" width="11.33203125" style="349" customWidth="1"/>
    <col min="16" max="16" width="9.6640625" style="350" customWidth="1"/>
    <col min="17" max="17" width="18" style="349" customWidth="1"/>
    <col min="18" max="18" width="8.21875" style="349" customWidth="1"/>
    <col min="19" max="259" width="9.6640625" style="349" customWidth="1"/>
    <col min="260" max="261" width="9.6640625" style="351" customWidth="1"/>
    <col min="262" max="16384" width="8.88671875" style="351"/>
  </cols>
  <sheetData>
    <row r="2" spans="2:23" ht="6.95" customHeight="1" x14ac:dyDescent="0.35">
      <c r="B2" s="345"/>
      <c r="C2" s="346"/>
      <c r="D2" s="346"/>
      <c r="E2" s="346"/>
      <c r="F2" s="346"/>
      <c r="G2" s="346"/>
      <c r="H2" s="346"/>
      <c r="I2" s="346"/>
      <c r="J2" s="347"/>
      <c r="K2" s="347"/>
      <c r="L2" s="346"/>
      <c r="M2" s="348"/>
    </row>
    <row r="3" spans="2:23" x14ac:dyDescent="0.35">
      <c r="B3" s="352"/>
      <c r="C3" s="452" t="s">
        <v>18</v>
      </c>
      <c r="D3" s="452"/>
      <c r="E3" s="452"/>
      <c r="F3" s="452"/>
      <c r="G3" s="452"/>
      <c r="H3" s="452"/>
      <c r="I3" s="452"/>
      <c r="J3" s="452"/>
      <c r="K3" s="452"/>
      <c r="L3" s="452"/>
      <c r="M3" s="354"/>
      <c r="N3" s="355"/>
      <c r="O3" s="355"/>
      <c r="P3" s="356"/>
      <c r="Q3" s="355"/>
      <c r="R3" s="355"/>
      <c r="S3" s="355"/>
      <c r="T3" s="355"/>
    </row>
    <row r="4" spans="2:23" ht="18.75" customHeight="1" x14ac:dyDescent="0.35">
      <c r="B4" s="352"/>
      <c r="C4" s="451" t="s">
        <v>478</v>
      </c>
      <c r="D4" s="451"/>
      <c r="E4" s="451"/>
      <c r="F4" s="451"/>
      <c r="G4" s="451"/>
      <c r="H4" s="451"/>
      <c r="I4" s="451"/>
      <c r="J4" s="451"/>
      <c r="K4" s="451"/>
      <c r="L4" s="451"/>
      <c r="M4" s="354"/>
      <c r="N4" s="357"/>
      <c r="O4" s="351"/>
      <c r="P4" s="356"/>
      <c r="Q4" s="357"/>
      <c r="R4" s="357"/>
      <c r="S4" s="357"/>
      <c r="T4" s="357"/>
      <c r="U4" s="357"/>
      <c r="V4" s="357"/>
      <c r="W4" s="357"/>
    </row>
    <row r="5" spans="2:23" ht="6.95" customHeight="1" x14ac:dyDescent="0.35">
      <c r="B5" s="358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60"/>
      <c r="N5" s="357"/>
      <c r="O5" s="351"/>
      <c r="P5" s="356"/>
      <c r="Q5" s="357"/>
      <c r="R5" s="357"/>
      <c r="S5" s="357"/>
      <c r="T5" s="357"/>
      <c r="U5" s="357"/>
      <c r="V5" s="357"/>
      <c r="W5" s="357"/>
    </row>
    <row r="6" spans="2:23" ht="6.95" customHeight="1" x14ac:dyDescent="0.35">
      <c r="B6" s="352"/>
      <c r="C6" s="355"/>
      <c r="D6" s="355"/>
      <c r="E6" s="355"/>
      <c r="F6" s="353"/>
      <c r="G6" s="353"/>
      <c r="H6" s="353"/>
      <c r="I6" s="353"/>
      <c r="J6" s="353"/>
      <c r="K6" s="353"/>
      <c r="L6" s="353"/>
      <c r="M6" s="361"/>
      <c r="N6" s="355"/>
      <c r="O6" s="355"/>
      <c r="P6" s="356"/>
      <c r="Q6" s="355"/>
      <c r="R6" s="355"/>
      <c r="S6" s="355"/>
      <c r="T6" s="355"/>
    </row>
    <row r="7" spans="2:23" x14ac:dyDescent="0.35">
      <c r="B7" s="352"/>
      <c r="C7" s="355"/>
      <c r="D7" s="355"/>
      <c r="E7" s="355"/>
      <c r="F7" s="359" t="s">
        <v>52</v>
      </c>
      <c r="G7" s="353"/>
      <c r="H7" s="359" t="s">
        <v>17</v>
      </c>
      <c r="I7" s="353"/>
      <c r="J7" s="359" t="s">
        <v>31</v>
      </c>
      <c r="K7" s="353"/>
      <c r="L7" s="359" t="s">
        <v>51</v>
      </c>
      <c r="M7" s="361"/>
      <c r="N7" s="356"/>
      <c r="O7" s="356"/>
      <c r="P7" s="356"/>
      <c r="Q7" s="356"/>
      <c r="R7" s="355"/>
      <c r="S7" s="355"/>
      <c r="T7" s="355"/>
    </row>
    <row r="8" spans="2:23" x14ac:dyDescent="0.35">
      <c r="B8" s="352"/>
      <c r="C8" s="362" t="s">
        <v>1</v>
      </c>
      <c r="D8" s="355"/>
      <c r="E8" s="355"/>
      <c r="F8" s="355"/>
      <c r="G8" s="355"/>
      <c r="H8" s="355"/>
      <c r="I8" s="355"/>
      <c r="J8" s="357"/>
      <c r="K8" s="357"/>
      <c r="L8" s="355"/>
      <c r="M8" s="363"/>
      <c r="N8" s="356"/>
      <c r="O8" s="356"/>
      <c r="P8" s="356"/>
      <c r="Q8" s="356"/>
      <c r="R8" s="355"/>
      <c r="S8" s="355"/>
      <c r="T8" s="355"/>
    </row>
    <row r="9" spans="2:23" x14ac:dyDescent="0.35">
      <c r="B9" s="352"/>
      <c r="C9" s="355"/>
      <c r="D9" s="355" t="s">
        <v>156</v>
      </c>
      <c r="E9" s="355"/>
      <c r="F9" s="83">
        <v>2611738</v>
      </c>
      <c r="G9" s="83"/>
      <c r="H9" s="83">
        <f>'Ex-BA'!H22</f>
        <v>-93251.347950000316</v>
      </c>
      <c r="I9" s="83"/>
      <c r="J9" s="357" t="s">
        <v>57</v>
      </c>
      <c r="K9" s="357"/>
      <c r="L9" s="83">
        <f>SUM(F9,H9)</f>
        <v>2518486.6520499997</v>
      </c>
      <c r="M9" s="364"/>
      <c r="N9" s="233" t="s">
        <v>465</v>
      </c>
      <c r="O9" s="356"/>
      <c r="P9" s="356"/>
      <c r="Q9" s="356"/>
      <c r="R9" s="355"/>
      <c r="S9" s="355"/>
      <c r="T9" s="355"/>
    </row>
    <row r="10" spans="2:23" x14ac:dyDescent="0.35">
      <c r="B10" s="352"/>
      <c r="C10" s="355"/>
      <c r="D10" s="355" t="s">
        <v>155</v>
      </c>
      <c r="E10" s="355"/>
      <c r="F10" s="365">
        <v>41703</v>
      </c>
      <c r="G10" s="83"/>
      <c r="H10" s="365">
        <f>'Ex-BA'!H32</f>
        <v>-155.73999999999069</v>
      </c>
      <c r="I10" s="234"/>
      <c r="J10" s="357" t="s">
        <v>58</v>
      </c>
      <c r="K10" s="357"/>
      <c r="L10" s="365">
        <f>SUM(F10,H10)</f>
        <v>41547.260000000009</v>
      </c>
      <c r="M10" s="364"/>
      <c r="N10" s="366" t="s">
        <v>458</v>
      </c>
      <c r="O10" s="356"/>
      <c r="P10" s="356"/>
      <c r="Q10" s="356"/>
      <c r="R10" s="355"/>
      <c r="S10" s="355"/>
      <c r="T10" s="355"/>
    </row>
    <row r="11" spans="2:23" x14ac:dyDescent="0.35">
      <c r="B11" s="352"/>
      <c r="C11" s="355"/>
      <c r="D11" s="355" t="s">
        <v>157</v>
      </c>
      <c r="E11" s="355"/>
      <c r="F11" s="234">
        <f>SUM(F9:F10)</f>
        <v>2653441</v>
      </c>
      <c r="G11" s="83"/>
      <c r="H11" s="234">
        <f>SUM(H9:H10)</f>
        <v>-93407.087950000307</v>
      </c>
      <c r="I11" s="234"/>
      <c r="J11" s="357"/>
      <c r="K11" s="357"/>
      <c r="L11" s="234">
        <f>SUM(L9:L10)</f>
        <v>2560033.9120499995</v>
      </c>
      <c r="M11" s="364"/>
      <c r="N11" s="366"/>
      <c r="O11" s="356"/>
      <c r="P11" s="356"/>
      <c r="Q11" s="356"/>
      <c r="R11" s="355"/>
      <c r="S11" s="355"/>
      <c r="T11" s="355"/>
    </row>
    <row r="12" spans="2:23" x14ac:dyDescent="0.35">
      <c r="B12" s="352"/>
      <c r="C12" s="355"/>
      <c r="D12" s="355" t="s">
        <v>25</v>
      </c>
      <c r="E12" s="355"/>
      <c r="F12" s="234"/>
      <c r="G12" s="84"/>
      <c r="H12" s="234"/>
      <c r="I12" s="234"/>
      <c r="J12" s="367"/>
      <c r="K12" s="367"/>
      <c r="L12" s="234"/>
      <c r="M12" s="364"/>
      <c r="O12" s="356"/>
      <c r="P12" s="356"/>
      <c r="Q12" s="356"/>
      <c r="R12" s="355"/>
      <c r="S12" s="355"/>
      <c r="T12" s="355"/>
    </row>
    <row r="13" spans="2:23" x14ac:dyDescent="0.35">
      <c r="B13" s="352"/>
      <c r="C13" s="355"/>
      <c r="D13" s="355"/>
      <c r="E13" s="355" t="s">
        <v>23</v>
      </c>
      <c r="F13" s="234">
        <v>37943</v>
      </c>
      <c r="G13" s="234"/>
      <c r="H13" s="234"/>
      <c r="I13" s="234"/>
      <c r="J13" s="367"/>
      <c r="K13" s="367"/>
      <c r="L13" s="234">
        <f>SUM(F13,H13)</f>
        <v>37943</v>
      </c>
      <c r="M13" s="368"/>
      <c r="O13" s="356"/>
      <c r="P13" s="356"/>
      <c r="Q13" s="369"/>
      <c r="R13" s="355"/>
      <c r="S13" s="355"/>
      <c r="T13" s="355"/>
    </row>
    <row r="14" spans="2:23" x14ac:dyDescent="0.35">
      <c r="B14" s="352"/>
      <c r="C14" s="355"/>
      <c r="D14" s="355"/>
      <c r="E14" s="355" t="s">
        <v>24</v>
      </c>
      <c r="F14" s="234">
        <v>16785</v>
      </c>
      <c r="G14" s="234"/>
      <c r="H14" s="234"/>
      <c r="I14" s="234"/>
      <c r="J14" s="367"/>
      <c r="K14" s="367"/>
      <c r="L14" s="234">
        <f t="shared" ref="L14:L16" si="0">SUM(F14,H14)</f>
        <v>16785</v>
      </c>
      <c r="M14" s="368"/>
      <c r="O14" s="356"/>
      <c r="Q14" s="369"/>
      <c r="R14" s="370"/>
      <c r="S14" s="355"/>
      <c r="T14" s="355"/>
    </row>
    <row r="15" spans="2:23" x14ac:dyDescent="0.35">
      <c r="B15" s="352"/>
      <c r="C15" s="355"/>
      <c r="D15" s="355"/>
      <c r="E15" s="355" t="s">
        <v>165</v>
      </c>
      <c r="F15" s="234">
        <v>37014</v>
      </c>
      <c r="G15" s="234"/>
      <c r="H15" s="234"/>
      <c r="I15" s="234"/>
      <c r="J15" s="367"/>
      <c r="K15" s="367"/>
      <c r="L15" s="234">
        <f t="shared" si="0"/>
        <v>37014</v>
      </c>
      <c r="M15" s="368"/>
      <c r="O15" s="356"/>
      <c r="Q15" s="369"/>
      <c r="R15" s="370"/>
      <c r="S15" s="355"/>
      <c r="T15" s="355"/>
    </row>
    <row r="16" spans="2:23" ht="15.75" x14ac:dyDescent="0.35">
      <c r="B16" s="352"/>
      <c r="C16" s="355"/>
      <c r="D16" s="355"/>
      <c r="E16" s="351" t="s">
        <v>72</v>
      </c>
      <c r="F16" s="365">
        <v>2233</v>
      </c>
      <c r="G16" s="234"/>
      <c r="H16" s="365"/>
      <c r="I16" s="234"/>
      <c r="J16" s="367"/>
      <c r="K16" s="367"/>
      <c r="L16" s="365">
        <f t="shared" si="0"/>
        <v>2233</v>
      </c>
      <c r="M16" s="371"/>
      <c r="N16" s="233"/>
      <c r="O16" s="356"/>
      <c r="Q16" s="369"/>
      <c r="R16" s="356"/>
      <c r="S16" s="355"/>
      <c r="T16" s="355"/>
    </row>
    <row r="17" spans="2:20" ht="15.75" x14ac:dyDescent="0.35">
      <c r="B17" s="352"/>
      <c r="C17" s="355"/>
      <c r="D17" s="355"/>
      <c r="E17" s="372" t="s">
        <v>457</v>
      </c>
      <c r="F17" s="373">
        <f>SUM(F13:F16)</f>
        <v>93975</v>
      </c>
      <c r="G17" s="234"/>
      <c r="H17" s="373">
        <f>SUM(H13:H16)</f>
        <v>0</v>
      </c>
      <c r="I17" s="234"/>
      <c r="J17" s="367"/>
      <c r="K17" s="367"/>
      <c r="L17" s="373">
        <f>SUM(L13:L16)</f>
        <v>93975</v>
      </c>
      <c r="M17" s="371"/>
      <c r="N17" s="233"/>
      <c r="O17" s="356"/>
      <c r="Q17" s="369"/>
      <c r="R17" s="356"/>
      <c r="S17" s="355"/>
      <c r="T17" s="355"/>
    </row>
    <row r="18" spans="2:20" x14ac:dyDescent="0.35">
      <c r="B18" s="352"/>
      <c r="C18" s="355" t="s">
        <v>2</v>
      </c>
      <c r="D18" s="355"/>
      <c r="E18" s="355"/>
      <c r="F18" s="84">
        <f>SUM(F11,F17)</f>
        <v>2747416</v>
      </c>
      <c r="G18" s="84"/>
      <c r="H18" s="84">
        <f>SUM(H11,H17)</f>
        <v>-93407.087950000307</v>
      </c>
      <c r="I18" s="84"/>
      <c r="J18" s="367"/>
      <c r="K18" s="367"/>
      <c r="L18" s="84">
        <f>SUM(L11,L17)</f>
        <v>2654008.9120499995</v>
      </c>
      <c r="M18" s="364"/>
      <c r="N18" s="233"/>
      <c r="O18" s="356"/>
      <c r="Q18" s="369"/>
      <c r="R18" s="356"/>
      <c r="S18" s="355"/>
      <c r="T18" s="355"/>
    </row>
    <row r="19" spans="2:20" ht="15.75" x14ac:dyDescent="0.35">
      <c r="B19" s="352"/>
      <c r="C19" s="362" t="s">
        <v>3</v>
      </c>
      <c r="D19" s="355"/>
      <c r="E19" s="355"/>
      <c r="F19" s="84"/>
      <c r="G19" s="84"/>
      <c r="H19" s="234"/>
      <c r="I19" s="234"/>
      <c r="J19" s="367"/>
      <c r="K19" s="367"/>
      <c r="L19" s="84"/>
      <c r="M19" s="374"/>
      <c r="N19" s="356"/>
      <c r="O19" s="356"/>
      <c r="Q19" s="369"/>
      <c r="R19" s="375"/>
      <c r="S19" s="355"/>
      <c r="T19" s="355"/>
    </row>
    <row r="20" spans="2:20" ht="15.75" x14ac:dyDescent="0.35">
      <c r="B20" s="352"/>
      <c r="C20" s="355"/>
      <c r="D20" s="355" t="s">
        <v>7</v>
      </c>
      <c r="E20" s="355"/>
      <c r="F20" s="234"/>
      <c r="G20" s="234"/>
      <c r="H20" s="234"/>
      <c r="I20" s="234"/>
      <c r="J20" s="367"/>
      <c r="K20" s="367"/>
      <c r="L20" s="84"/>
      <c r="M20" s="374"/>
      <c r="N20" s="356"/>
      <c r="O20" s="375"/>
      <c r="Q20" s="369"/>
      <c r="R20" s="370"/>
      <c r="S20" s="355"/>
      <c r="T20" s="355"/>
    </row>
    <row r="21" spans="2:20" x14ac:dyDescent="0.35">
      <c r="B21" s="352"/>
      <c r="C21" s="355"/>
      <c r="D21" s="355"/>
      <c r="E21" s="355" t="s">
        <v>10</v>
      </c>
      <c r="F21" s="234">
        <v>228656</v>
      </c>
      <c r="G21" s="234"/>
      <c r="H21" s="234">
        <f>'Emp Sal &amp; Wages'!L92</f>
        <v>52615.591428800166</v>
      </c>
      <c r="I21" s="234"/>
      <c r="J21" s="367" t="s">
        <v>59</v>
      </c>
      <c r="K21" s="367"/>
      <c r="L21" s="84">
        <f>SUM(F21,H21)</f>
        <v>281271.59142880014</v>
      </c>
      <c r="M21" s="374"/>
      <c r="N21" s="233" t="s">
        <v>460</v>
      </c>
      <c r="O21" s="356"/>
      <c r="Q21" s="369"/>
      <c r="R21" s="355"/>
      <c r="S21" s="355"/>
      <c r="T21" s="355"/>
    </row>
    <row r="22" spans="2:20" x14ac:dyDescent="0.35">
      <c r="B22" s="352"/>
      <c r="C22" s="355"/>
      <c r="D22" s="355"/>
      <c r="E22" s="355" t="s">
        <v>11</v>
      </c>
      <c r="F22" s="234">
        <v>10800</v>
      </c>
      <c r="G22" s="234"/>
      <c r="H22" s="234"/>
      <c r="I22" s="234"/>
      <c r="J22" s="367"/>
      <c r="K22" s="367"/>
      <c r="L22" s="84">
        <f t="shared" ref="L22:L40" si="1">F22+H22</f>
        <v>10800</v>
      </c>
      <c r="M22" s="374"/>
      <c r="N22" s="356"/>
      <c r="O22" s="356"/>
      <c r="P22" s="356"/>
      <c r="Q22" s="356"/>
      <c r="S22" s="355"/>
      <c r="T22" s="355"/>
    </row>
    <row r="23" spans="2:20" x14ac:dyDescent="0.35">
      <c r="B23" s="352"/>
      <c r="C23" s="355"/>
      <c r="D23" s="355"/>
      <c r="E23" s="355" t="s">
        <v>12</v>
      </c>
      <c r="F23" s="234">
        <v>112610</v>
      </c>
      <c r="G23" s="234"/>
      <c r="H23" s="234">
        <f>'Emp Pension &amp; Benefits'!H9</f>
        <v>-20530.855059751197</v>
      </c>
      <c r="I23" s="234"/>
      <c r="J23" s="376" t="s">
        <v>69</v>
      </c>
      <c r="K23" s="376"/>
      <c r="L23" s="84"/>
      <c r="M23" s="374"/>
      <c r="N23" s="233" t="s">
        <v>461</v>
      </c>
      <c r="O23" s="356"/>
      <c r="P23" s="356"/>
      <c r="S23" s="355"/>
      <c r="T23" s="355"/>
    </row>
    <row r="24" spans="2:20" x14ac:dyDescent="0.35">
      <c r="B24" s="352"/>
      <c r="C24" s="355"/>
      <c r="D24" s="355"/>
      <c r="E24" s="355"/>
      <c r="F24" s="234"/>
      <c r="G24" s="234"/>
      <c r="H24" s="234">
        <f>'Emp Pension &amp; Benefits'!H20</f>
        <v>783</v>
      </c>
      <c r="I24" s="234"/>
      <c r="J24" s="376" t="s">
        <v>60</v>
      </c>
      <c r="K24" s="376"/>
      <c r="L24" s="84"/>
      <c r="M24" s="374"/>
      <c r="N24" s="233" t="s">
        <v>462</v>
      </c>
      <c r="O24" s="356"/>
      <c r="P24" s="356"/>
      <c r="S24" s="355"/>
      <c r="T24" s="355"/>
    </row>
    <row r="25" spans="2:20" x14ac:dyDescent="0.35">
      <c r="B25" s="352"/>
      <c r="C25" s="355"/>
      <c r="D25" s="355"/>
      <c r="E25" s="355"/>
      <c r="F25" s="234"/>
      <c r="G25" s="234"/>
      <c r="H25" s="234">
        <f>'Emp Pension &amp; Benefits'!H36</f>
        <v>11996</v>
      </c>
      <c r="I25" s="234"/>
      <c r="J25" s="367" t="s">
        <v>61</v>
      </c>
      <c r="K25" s="367"/>
      <c r="L25" s="84">
        <f>SUM(F23,H23:H25)</f>
        <v>104858.14494024881</v>
      </c>
      <c r="M25" s="374"/>
      <c r="N25" s="233" t="s">
        <v>463</v>
      </c>
      <c r="O25" s="356"/>
      <c r="P25" s="356"/>
      <c r="S25" s="355"/>
      <c r="T25" s="355"/>
    </row>
    <row r="26" spans="2:20" x14ac:dyDescent="0.35">
      <c r="B26" s="352"/>
      <c r="C26" s="355"/>
      <c r="D26" s="355"/>
      <c r="E26" s="355" t="s">
        <v>13</v>
      </c>
      <c r="F26" s="234">
        <v>1216129</v>
      </c>
      <c r="G26" s="234"/>
      <c r="H26" s="234">
        <f>WatPurch!D43</f>
        <v>-1143</v>
      </c>
      <c r="I26" s="234"/>
      <c r="J26" s="367" t="s">
        <v>62</v>
      </c>
      <c r="K26" s="367"/>
      <c r="L26" s="84">
        <f t="shared" si="1"/>
        <v>1214986</v>
      </c>
      <c r="M26" s="374"/>
      <c r="N26" s="233" t="s">
        <v>464</v>
      </c>
      <c r="O26" s="356"/>
      <c r="P26" s="356"/>
      <c r="S26" s="355"/>
      <c r="T26" s="355"/>
    </row>
    <row r="27" spans="2:20" x14ac:dyDescent="0.35">
      <c r="B27" s="352"/>
      <c r="C27" s="355"/>
      <c r="D27" s="355"/>
      <c r="E27" s="355" t="s">
        <v>14</v>
      </c>
      <c r="F27" s="234">
        <v>30953</v>
      </c>
      <c r="G27" s="234"/>
      <c r="H27" s="234">
        <f>WatPurch!C43</f>
        <v>-29</v>
      </c>
      <c r="I27" s="234"/>
      <c r="J27" s="376" t="s">
        <v>62</v>
      </c>
      <c r="K27" s="376"/>
      <c r="L27" s="84">
        <f t="shared" si="1"/>
        <v>30924</v>
      </c>
      <c r="M27" s="374"/>
      <c r="N27" s="233" t="s">
        <v>464</v>
      </c>
      <c r="O27" s="350"/>
      <c r="P27" s="356"/>
      <c r="S27" s="355"/>
      <c r="T27" s="355"/>
    </row>
    <row r="28" spans="2:20" x14ac:dyDescent="0.35">
      <c r="B28" s="352"/>
      <c r="C28" s="355"/>
      <c r="D28" s="355"/>
      <c r="E28" s="355" t="s">
        <v>47</v>
      </c>
      <c r="F28" s="234">
        <v>38961</v>
      </c>
      <c r="G28" s="234"/>
      <c r="H28" s="234"/>
      <c r="I28" s="234"/>
      <c r="J28" s="376"/>
      <c r="K28" s="376"/>
      <c r="L28" s="84">
        <f t="shared" si="1"/>
        <v>38961</v>
      </c>
      <c r="M28" s="374"/>
      <c r="N28" s="366"/>
      <c r="O28" s="356"/>
      <c r="P28" s="377"/>
      <c r="Q28" s="356"/>
      <c r="R28" s="355"/>
      <c r="S28" s="355"/>
      <c r="T28" s="355"/>
    </row>
    <row r="29" spans="2:20" x14ac:dyDescent="0.35">
      <c r="B29" s="352"/>
      <c r="C29" s="355"/>
      <c r="D29" s="355"/>
      <c r="E29" s="355" t="s">
        <v>159</v>
      </c>
      <c r="F29" s="234">
        <v>6029</v>
      </c>
      <c r="G29" s="234"/>
      <c r="H29" s="234"/>
      <c r="I29" s="234"/>
      <c r="J29" s="376"/>
      <c r="K29" s="376"/>
      <c r="L29" s="84">
        <f t="shared" si="1"/>
        <v>6029</v>
      </c>
      <c r="M29" s="374"/>
      <c r="N29" s="366"/>
      <c r="O29" s="356"/>
      <c r="P29" s="377"/>
      <c r="Q29" s="356"/>
      <c r="R29" s="355"/>
      <c r="S29" s="355"/>
      <c r="T29" s="355"/>
    </row>
    <row r="30" spans="2:20" x14ac:dyDescent="0.35">
      <c r="B30" s="352"/>
      <c r="C30" s="355"/>
      <c r="D30" s="355"/>
      <c r="E30" s="355" t="s">
        <v>150</v>
      </c>
      <c r="F30" s="234">
        <v>113</v>
      </c>
      <c r="G30" s="234"/>
      <c r="H30" s="234"/>
      <c r="I30" s="234"/>
      <c r="J30" s="376"/>
      <c r="K30" s="376"/>
      <c r="L30" s="84">
        <f t="shared" si="1"/>
        <v>113</v>
      </c>
      <c r="M30" s="374"/>
      <c r="N30" s="366"/>
      <c r="O30" s="356"/>
      <c r="P30" s="377"/>
      <c r="Q30" s="356"/>
      <c r="R30" s="355"/>
      <c r="S30" s="355"/>
      <c r="T30" s="355"/>
    </row>
    <row r="31" spans="2:20" ht="13.9" x14ac:dyDescent="0.35">
      <c r="B31" s="352"/>
      <c r="C31" s="355"/>
      <c r="D31" s="355"/>
      <c r="E31" s="355" t="s">
        <v>133</v>
      </c>
      <c r="F31" s="234">
        <v>6812</v>
      </c>
      <c r="G31" s="234"/>
      <c r="H31" s="234"/>
      <c r="I31" s="234"/>
      <c r="J31" s="367"/>
      <c r="K31" s="367"/>
      <c r="L31" s="84">
        <f t="shared" si="1"/>
        <v>6812</v>
      </c>
      <c r="M31" s="374"/>
      <c r="N31" s="378"/>
      <c r="O31" s="356"/>
      <c r="P31" s="356"/>
      <c r="Q31" s="356"/>
      <c r="R31" s="355"/>
      <c r="S31" s="355"/>
      <c r="T31" s="355"/>
    </row>
    <row r="32" spans="2:20" ht="13.9" x14ac:dyDescent="0.35">
      <c r="B32" s="352"/>
      <c r="C32" s="355"/>
      <c r="D32" s="355"/>
      <c r="E32" s="355" t="s">
        <v>158</v>
      </c>
      <c r="F32" s="234">
        <v>127101</v>
      </c>
      <c r="G32" s="234"/>
      <c r="H32" s="234"/>
      <c r="I32" s="234"/>
      <c r="J32" s="367"/>
      <c r="K32" s="367"/>
      <c r="L32" s="84">
        <f t="shared" si="1"/>
        <v>127101</v>
      </c>
      <c r="M32" s="374"/>
      <c r="N32" s="378"/>
      <c r="O32" s="356"/>
      <c r="P32" s="356"/>
      <c r="Q32" s="356"/>
      <c r="R32" s="355"/>
      <c r="S32" s="355"/>
      <c r="T32" s="355"/>
    </row>
    <row r="33" spans="2:20" ht="15" customHeight="1" x14ac:dyDescent="0.35">
      <c r="B33" s="352"/>
      <c r="C33" s="355"/>
      <c r="D33" s="355"/>
      <c r="E33" s="355" t="s">
        <v>160</v>
      </c>
      <c r="F33" s="234">
        <v>9912</v>
      </c>
      <c r="G33" s="234"/>
      <c r="H33" s="234"/>
      <c r="I33" s="234"/>
      <c r="J33" s="367"/>
      <c r="K33" s="367"/>
      <c r="L33" s="84">
        <f t="shared" si="1"/>
        <v>9912</v>
      </c>
      <c r="M33" s="374"/>
      <c r="N33" s="356"/>
      <c r="O33" s="356"/>
      <c r="P33" s="356"/>
      <c r="Q33" s="356"/>
      <c r="R33" s="355"/>
      <c r="S33" s="355"/>
      <c r="T33" s="355"/>
    </row>
    <row r="34" spans="2:20" x14ac:dyDescent="0.35">
      <c r="B34" s="352"/>
      <c r="C34" s="355"/>
      <c r="D34" s="355"/>
      <c r="E34" s="355" t="s">
        <v>19</v>
      </c>
      <c r="F34" s="234">
        <v>37509</v>
      </c>
      <c r="G34" s="234"/>
      <c r="H34" s="234"/>
      <c r="I34" s="234"/>
      <c r="J34" s="367"/>
      <c r="K34" s="367"/>
      <c r="L34" s="84">
        <f t="shared" si="1"/>
        <v>37509</v>
      </c>
      <c r="M34" s="374"/>
      <c r="N34" s="356"/>
      <c r="O34" s="356"/>
      <c r="P34" s="379"/>
      <c r="Q34" s="356"/>
      <c r="R34" s="355"/>
      <c r="S34" s="355"/>
      <c r="T34" s="355"/>
    </row>
    <row r="35" spans="2:20" x14ac:dyDescent="0.35">
      <c r="B35" s="352"/>
      <c r="C35" s="355"/>
      <c r="D35" s="355"/>
      <c r="E35" s="355" t="s">
        <v>161</v>
      </c>
      <c r="F35" s="234">
        <v>1173</v>
      </c>
      <c r="G35" s="234"/>
      <c r="H35" s="234"/>
      <c r="I35" s="234"/>
      <c r="J35" s="367"/>
      <c r="K35" s="367"/>
      <c r="L35" s="84">
        <f t="shared" si="1"/>
        <v>1173</v>
      </c>
      <c r="M35" s="374"/>
      <c r="N35" s="356"/>
      <c r="O35" s="356"/>
      <c r="P35" s="379"/>
      <c r="Q35" s="356"/>
      <c r="R35" s="355"/>
      <c r="S35" s="355"/>
      <c r="T35" s="355"/>
    </row>
    <row r="36" spans="2:20" x14ac:dyDescent="0.35">
      <c r="B36" s="352"/>
      <c r="C36" s="355"/>
      <c r="D36" s="355"/>
      <c r="E36" s="355" t="s">
        <v>134</v>
      </c>
      <c r="F36" s="234">
        <v>11946</v>
      </c>
      <c r="G36" s="234"/>
      <c r="H36" s="234"/>
      <c r="I36" s="234"/>
      <c r="J36" s="367"/>
      <c r="K36" s="367"/>
      <c r="L36" s="84">
        <f t="shared" si="1"/>
        <v>11946</v>
      </c>
      <c r="M36" s="374"/>
      <c r="O36" s="356"/>
      <c r="P36" s="379"/>
      <c r="Q36" s="356"/>
      <c r="R36" s="355"/>
      <c r="S36" s="355"/>
      <c r="T36" s="355"/>
    </row>
    <row r="37" spans="2:20" x14ac:dyDescent="0.35">
      <c r="B37" s="352"/>
      <c r="C37" s="355"/>
      <c r="D37" s="355"/>
      <c r="E37" s="355" t="s">
        <v>162</v>
      </c>
      <c r="F37" s="234">
        <v>1445</v>
      </c>
      <c r="G37" s="234"/>
      <c r="H37" s="234"/>
      <c r="I37" s="234"/>
      <c r="J37" s="367"/>
      <c r="K37" s="367"/>
      <c r="L37" s="84">
        <f t="shared" si="1"/>
        <v>1445</v>
      </c>
      <c r="M37" s="374"/>
      <c r="N37" s="366" t="s">
        <v>365</v>
      </c>
      <c r="O37" s="356"/>
      <c r="P37" s="379"/>
      <c r="Q37" s="356"/>
      <c r="R37" s="355"/>
      <c r="S37" s="355"/>
      <c r="T37" s="355"/>
    </row>
    <row r="38" spans="2:20" x14ac:dyDescent="0.35">
      <c r="B38" s="352"/>
      <c r="C38" s="355"/>
      <c r="D38" s="355"/>
      <c r="E38" s="355" t="s">
        <v>163</v>
      </c>
      <c r="F38" s="234">
        <v>804</v>
      </c>
      <c r="G38" s="234"/>
      <c r="H38" s="234"/>
      <c r="I38" s="234"/>
      <c r="J38" s="367"/>
      <c r="K38" s="367"/>
      <c r="L38" s="84">
        <f t="shared" si="1"/>
        <v>804</v>
      </c>
      <c r="M38" s="374"/>
      <c r="N38" s="356"/>
      <c r="O38" s="356"/>
      <c r="P38" s="379"/>
      <c r="Q38" s="356"/>
      <c r="R38" s="355"/>
      <c r="S38" s="355"/>
      <c r="T38" s="355"/>
    </row>
    <row r="39" spans="2:20" x14ac:dyDescent="0.35">
      <c r="B39" s="352"/>
      <c r="C39" s="355"/>
      <c r="D39" s="355"/>
      <c r="E39" s="355" t="s">
        <v>71</v>
      </c>
      <c r="F39" s="234">
        <v>1859</v>
      </c>
      <c r="G39" s="234"/>
      <c r="H39" s="234"/>
      <c r="I39" s="234"/>
      <c r="J39" s="367"/>
      <c r="K39" s="367"/>
      <c r="L39" s="84">
        <f t="shared" si="1"/>
        <v>1859</v>
      </c>
      <c r="M39" s="374"/>
      <c r="N39" s="356"/>
      <c r="O39" s="356"/>
      <c r="P39" s="356"/>
      <c r="Q39" s="356"/>
      <c r="R39" s="355"/>
      <c r="S39" s="355"/>
      <c r="T39" s="355"/>
    </row>
    <row r="40" spans="2:20" ht="15.75" x14ac:dyDescent="0.35">
      <c r="B40" s="352"/>
      <c r="C40" s="355"/>
      <c r="D40" s="355"/>
      <c r="E40" s="355" t="s">
        <v>15</v>
      </c>
      <c r="F40" s="365">
        <v>5226</v>
      </c>
      <c r="G40" s="234"/>
      <c r="H40" s="365"/>
      <c r="I40" s="234"/>
      <c r="J40" s="367"/>
      <c r="K40" s="367"/>
      <c r="L40" s="380">
        <f t="shared" si="1"/>
        <v>5226</v>
      </c>
      <c r="M40" s="371"/>
      <c r="N40" s="366"/>
      <c r="O40" s="356"/>
      <c r="P40" s="356"/>
      <c r="Q40" s="356"/>
      <c r="R40" s="355"/>
      <c r="S40" s="355"/>
      <c r="T40" s="355"/>
    </row>
    <row r="41" spans="2:20" x14ac:dyDescent="0.35">
      <c r="B41" s="352"/>
      <c r="C41" s="355"/>
      <c r="D41" s="355" t="s">
        <v>146</v>
      </c>
      <c r="E41" s="355"/>
      <c r="F41" s="234">
        <f>SUM(F21:F40)</f>
        <v>1848038</v>
      </c>
      <c r="G41" s="234"/>
      <c r="H41" s="234">
        <f>SUM(H21:H40)</f>
        <v>43691.736369048973</v>
      </c>
      <c r="I41" s="234"/>
      <c r="J41" s="376"/>
      <c r="K41" s="376"/>
      <c r="L41" s="84">
        <f>SUM(L21:L40)</f>
        <v>1891729.7363690489</v>
      </c>
      <c r="M41" s="374"/>
      <c r="N41" s="356"/>
      <c r="O41" s="356"/>
      <c r="P41" s="356"/>
      <c r="Q41" s="356"/>
      <c r="R41" s="355"/>
      <c r="S41" s="355"/>
      <c r="T41" s="355"/>
    </row>
    <row r="42" spans="2:20" x14ac:dyDescent="0.35">
      <c r="B42" s="352"/>
      <c r="C42" s="355"/>
      <c r="D42" s="355" t="s">
        <v>8</v>
      </c>
      <c r="E42" s="355"/>
      <c r="F42" s="234">
        <v>700686</v>
      </c>
      <c r="G42" s="234"/>
      <c r="H42" s="234">
        <f>'Dep Adj'!J18</f>
        <v>-155930</v>
      </c>
      <c r="I42" s="234"/>
      <c r="J42" s="376" t="s">
        <v>98</v>
      </c>
      <c r="K42" s="376"/>
      <c r="L42" s="84"/>
      <c r="M42" s="374"/>
      <c r="N42" s="366" t="s">
        <v>397</v>
      </c>
      <c r="O42" s="356"/>
      <c r="P42" s="356"/>
      <c r="Q42" s="356"/>
      <c r="R42" s="355"/>
      <c r="S42" s="355"/>
      <c r="T42" s="355"/>
    </row>
    <row r="43" spans="2:20" x14ac:dyDescent="0.35">
      <c r="B43" s="352"/>
      <c r="C43" s="355"/>
      <c r="E43" s="355"/>
      <c r="G43" s="234"/>
      <c r="H43" s="234">
        <f>'Dep Adj'!J16</f>
        <v>82024</v>
      </c>
      <c r="I43" s="234"/>
      <c r="J43" s="376" t="s">
        <v>63</v>
      </c>
      <c r="K43" s="376"/>
      <c r="L43" s="84"/>
      <c r="M43" s="374"/>
      <c r="N43" s="366" t="s">
        <v>398</v>
      </c>
      <c r="O43" s="356"/>
      <c r="P43" s="356"/>
      <c r="Q43" s="356"/>
      <c r="R43" s="355"/>
      <c r="S43" s="355"/>
      <c r="T43" s="355"/>
    </row>
    <row r="44" spans="2:20" x14ac:dyDescent="0.35">
      <c r="B44" s="352"/>
      <c r="C44" s="355"/>
      <c r="D44" s="355"/>
      <c r="E44" s="355"/>
      <c r="F44" s="234"/>
      <c r="G44" s="234"/>
      <c r="H44" s="234">
        <f>'Dep Adj'!J20</f>
        <v>41654</v>
      </c>
      <c r="I44" s="234"/>
      <c r="J44" s="376" t="s">
        <v>64</v>
      </c>
      <c r="K44" s="376"/>
      <c r="L44" s="84">
        <f>SUM(F42,H42:H44)</f>
        <v>668434</v>
      </c>
      <c r="M44" s="374"/>
      <c r="N44" s="366" t="s">
        <v>399</v>
      </c>
      <c r="O44" s="356"/>
      <c r="P44" s="356"/>
      <c r="Q44" s="356"/>
      <c r="R44" s="355"/>
      <c r="S44" s="355"/>
      <c r="T44" s="355"/>
    </row>
    <row r="45" spans="2:20" ht="15.75" x14ac:dyDescent="0.35">
      <c r="B45" s="352"/>
      <c r="C45" s="355"/>
      <c r="D45" s="355" t="s">
        <v>9</v>
      </c>
      <c r="E45" s="355"/>
      <c r="F45" s="380">
        <v>3916</v>
      </c>
      <c r="G45" s="84"/>
      <c r="H45" s="380">
        <f>FICA!G10</f>
        <v>22343</v>
      </c>
      <c r="I45" s="84"/>
      <c r="J45" s="367" t="s">
        <v>65</v>
      </c>
      <c r="K45" s="367"/>
      <c r="L45" s="380">
        <f>F45+H45</f>
        <v>26259</v>
      </c>
      <c r="M45" s="371"/>
      <c r="N45" s="366" t="s">
        <v>412</v>
      </c>
      <c r="O45" s="356"/>
      <c r="P45" s="356"/>
      <c r="Q45" s="356"/>
      <c r="R45" s="355"/>
      <c r="S45" s="355"/>
      <c r="T45" s="355"/>
    </row>
    <row r="46" spans="2:20" x14ac:dyDescent="0.35">
      <c r="B46" s="352"/>
      <c r="C46" s="355" t="s">
        <v>4</v>
      </c>
      <c r="D46" s="355"/>
      <c r="E46" s="355"/>
      <c r="F46" s="365">
        <f>SUM(F41:F45)</f>
        <v>2552640</v>
      </c>
      <c r="G46" s="234"/>
      <c r="H46" s="381">
        <f>SUM(H41:H45)</f>
        <v>33782.736369048973</v>
      </c>
      <c r="I46" s="382"/>
      <c r="J46" s="376"/>
      <c r="K46" s="376"/>
      <c r="L46" s="365">
        <f>SUM(L41:L45)</f>
        <v>2586422.7363690492</v>
      </c>
      <c r="M46" s="364"/>
      <c r="N46" s="356"/>
      <c r="O46" s="356"/>
      <c r="P46" s="356"/>
      <c r="Q46" s="356"/>
      <c r="R46" s="355"/>
      <c r="S46" s="355"/>
      <c r="T46" s="355"/>
    </row>
    <row r="47" spans="2:20" ht="13.9" thickBot="1" x14ac:dyDescent="0.4">
      <c r="B47" s="352"/>
      <c r="C47" s="355" t="s">
        <v>20</v>
      </c>
      <c r="D47" s="355"/>
      <c r="E47" s="355"/>
      <c r="F47" s="383">
        <f>F18-F46</f>
        <v>194776</v>
      </c>
      <c r="G47" s="83"/>
      <c r="H47" s="383">
        <f>H18-H46</f>
        <v>-127189.82431904928</v>
      </c>
      <c r="I47" s="83"/>
      <c r="J47" s="357"/>
      <c r="K47" s="357"/>
      <c r="L47" s="383">
        <f>L18-L46</f>
        <v>67586.175680950284</v>
      </c>
      <c r="M47" s="364"/>
      <c r="N47" s="356">
        <f>SUM(H43:H44)</f>
        <v>123678</v>
      </c>
      <c r="O47" s="356"/>
      <c r="P47" s="356"/>
      <c r="Q47" s="356"/>
      <c r="R47" s="355"/>
      <c r="S47" s="355"/>
      <c r="T47" s="355"/>
    </row>
    <row r="48" spans="2:20" ht="13.9" thickTop="1" x14ac:dyDescent="0.35">
      <c r="B48" s="352"/>
      <c r="C48" s="355"/>
      <c r="D48" s="355"/>
      <c r="E48" s="355"/>
      <c r="F48" s="84"/>
      <c r="G48" s="84"/>
      <c r="H48" s="355"/>
      <c r="I48" s="355"/>
      <c r="J48" s="357"/>
      <c r="K48" s="357"/>
      <c r="L48" s="84"/>
      <c r="M48" s="374"/>
      <c r="N48" s="356"/>
      <c r="O48" s="356"/>
      <c r="P48" s="356"/>
      <c r="Q48" s="356"/>
      <c r="R48" s="355"/>
      <c r="S48" s="355"/>
      <c r="T48" s="355"/>
    </row>
    <row r="49" spans="2:20" ht="15.75" x14ac:dyDescent="0.35">
      <c r="B49" s="345"/>
      <c r="C49" s="453" t="s">
        <v>30</v>
      </c>
      <c r="D49" s="453"/>
      <c r="E49" s="453"/>
      <c r="F49" s="453"/>
      <c r="G49" s="453"/>
      <c r="H49" s="453"/>
      <c r="I49" s="453"/>
      <c r="J49" s="453"/>
      <c r="K49" s="453"/>
      <c r="L49" s="453"/>
      <c r="M49" s="384"/>
      <c r="N49" s="356"/>
      <c r="O49" s="83"/>
      <c r="P49" s="375"/>
      <c r="Q49" s="356"/>
      <c r="R49" s="355"/>
      <c r="S49" s="355"/>
      <c r="T49" s="355"/>
    </row>
    <row r="50" spans="2:20" x14ac:dyDescent="0.35">
      <c r="B50" s="352"/>
      <c r="C50" s="355" t="s">
        <v>5</v>
      </c>
      <c r="D50" s="355"/>
      <c r="E50" s="355"/>
      <c r="H50" s="355"/>
      <c r="I50" s="355"/>
      <c r="J50" s="357"/>
      <c r="K50" s="357"/>
      <c r="L50" s="83">
        <f>L46</f>
        <v>2586422.7363690492</v>
      </c>
      <c r="M50" s="364"/>
      <c r="N50" s="356"/>
      <c r="O50" s="84"/>
      <c r="P50" s="356"/>
      <c r="Q50" s="356"/>
      <c r="R50" s="355"/>
      <c r="S50" s="355"/>
      <c r="T50" s="355"/>
    </row>
    <row r="51" spans="2:20" x14ac:dyDescent="0.35">
      <c r="B51" s="352"/>
      <c r="C51" s="355" t="s">
        <v>55</v>
      </c>
      <c r="D51" s="355"/>
      <c r="E51" s="355" t="s">
        <v>32</v>
      </c>
      <c r="H51" s="355"/>
      <c r="I51" s="355"/>
      <c r="J51" s="385" t="s">
        <v>93</v>
      </c>
      <c r="K51" s="385"/>
      <c r="L51" s="386">
        <f>'Debt Sch'!H19</f>
        <v>198881</v>
      </c>
      <c r="M51" s="387"/>
      <c r="N51" s="356"/>
      <c r="O51" s="84"/>
      <c r="P51" s="356"/>
      <c r="Q51" s="356"/>
      <c r="R51" s="355"/>
      <c r="S51" s="355"/>
      <c r="T51" s="355"/>
    </row>
    <row r="52" spans="2:20" ht="15.75" x14ac:dyDescent="0.35">
      <c r="B52" s="352"/>
      <c r="C52" s="355"/>
      <c r="D52" s="355"/>
      <c r="E52" s="355" t="s">
        <v>16</v>
      </c>
      <c r="H52" s="355"/>
      <c r="I52" s="355"/>
      <c r="J52" s="385" t="s">
        <v>93</v>
      </c>
      <c r="K52" s="385"/>
      <c r="L52" s="388">
        <f>ROUND(L51*0.2,0)</f>
        <v>39776</v>
      </c>
      <c r="M52" s="371"/>
      <c r="N52" s="356"/>
      <c r="O52" s="83"/>
      <c r="P52" s="356"/>
      <c r="Q52" s="356"/>
      <c r="R52" s="355"/>
      <c r="S52" s="355"/>
      <c r="T52" s="355"/>
    </row>
    <row r="53" spans="2:20" x14ac:dyDescent="0.35">
      <c r="B53" s="352"/>
      <c r="C53" s="355" t="s">
        <v>21</v>
      </c>
      <c r="D53" s="355"/>
      <c r="E53" s="355"/>
      <c r="H53" s="355"/>
      <c r="I53" s="355"/>
      <c r="J53" s="357"/>
      <c r="K53" s="357"/>
      <c r="L53" s="83">
        <f>SUM(L50:L52)</f>
        <v>2825079.7363690492</v>
      </c>
      <c r="M53" s="364"/>
      <c r="N53" s="356"/>
      <c r="O53" s="389"/>
      <c r="P53" s="356"/>
      <c r="Q53" s="356"/>
      <c r="R53" s="355"/>
      <c r="S53" s="355"/>
      <c r="T53" s="355"/>
    </row>
    <row r="54" spans="2:20" x14ac:dyDescent="0.35">
      <c r="B54" s="352"/>
      <c r="C54" s="355" t="s">
        <v>56</v>
      </c>
      <c r="D54" s="355"/>
      <c r="E54" s="355" t="s">
        <v>6</v>
      </c>
      <c r="H54" s="355"/>
      <c r="I54" s="355"/>
      <c r="J54" s="357"/>
      <c r="K54" s="357"/>
      <c r="L54" s="390">
        <f>-L17</f>
        <v>-93975</v>
      </c>
      <c r="M54" s="391"/>
      <c r="N54" s="366" t="s">
        <v>366</v>
      </c>
      <c r="O54" s="389"/>
      <c r="P54" s="356"/>
      <c r="Q54" s="356"/>
      <c r="R54" s="355"/>
      <c r="S54" s="355"/>
      <c r="T54" s="355"/>
    </row>
    <row r="55" spans="2:20" x14ac:dyDescent="0.35">
      <c r="B55" s="352"/>
      <c r="C55" s="355"/>
      <c r="D55" s="355"/>
      <c r="E55" s="355" t="s">
        <v>91</v>
      </c>
      <c r="H55" s="355"/>
      <c r="I55" s="355"/>
      <c r="J55" s="357"/>
      <c r="K55" s="357"/>
      <c r="L55" s="390"/>
      <c r="M55" s="391"/>
      <c r="N55" s="356"/>
      <c r="O55" s="389"/>
      <c r="P55" s="356"/>
      <c r="Q55" s="356"/>
      <c r="R55" s="355"/>
      <c r="S55" s="355"/>
      <c r="T55" s="355"/>
    </row>
    <row r="56" spans="2:20" x14ac:dyDescent="0.35">
      <c r="B56" s="352"/>
      <c r="C56" s="355"/>
      <c r="D56" s="355"/>
      <c r="E56" s="355" t="s">
        <v>92</v>
      </c>
      <c r="F56" s="392"/>
      <c r="G56" s="392"/>
      <c r="H56" s="393"/>
      <c r="I56" s="393"/>
      <c r="J56" s="357"/>
      <c r="K56" s="357"/>
      <c r="L56" s="390"/>
      <c r="M56" s="391"/>
      <c r="N56" s="356"/>
      <c r="O56" s="389"/>
      <c r="P56" s="356"/>
      <c r="Q56" s="356"/>
      <c r="R56" s="355"/>
      <c r="S56" s="355"/>
      <c r="T56" s="355"/>
    </row>
    <row r="57" spans="2:20" ht="15.75" x14ac:dyDescent="0.35">
      <c r="B57" s="352"/>
      <c r="C57" s="355"/>
      <c r="D57" s="355"/>
      <c r="E57" s="355" t="s">
        <v>33</v>
      </c>
      <c r="H57" s="355"/>
      <c r="I57" s="355"/>
      <c r="J57" s="357"/>
      <c r="K57" s="357"/>
      <c r="L57" s="394">
        <v>-14635</v>
      </c>
      <c r="M57" s="371"/>
      <c r="N57" s="366" t="s">
        <v>366</v>
      </c>
      <c r="O57" s="389"/>
      <c r="P57" s="356"/>
      <c r="Q57" s="356"/>
      <c r="R57" s="395"/>
      <c r="S57" s="355"/>
      <c r="T57" s="355"/>
    </row>
    <row r="58" spans="2:20" x14ac:dyDescent="0.35">
      <c r="B58" s="352"/>
      <c r="C58" s="355"/>
      <c r="D58" s="355"/>
      <c r="E58" s="351" t="s">
        <v>73</v>
      </c>
      <c r="H58" s="355"/>
      <c r="I58" s="355"/>
      <c r="J58" s="357"/>
      <c r="K58" s="357"/>
      <c r="L58" s="396">
        <v>-7790</v>
      </c>
      <c r="M58" s="397"/>
      <c r="N58" s="366" t="s">
        <v>366</v>
      </c>
      <c r="O58" s="389"/>
      <c r="P58" s="356"/>
      <c r="Q58" s="83"/>
      <c r="R58" s="355"/>
      <c r="S58" s="355"/>
      <c r="T58" s="355"/>
    </row>
    <row r="59" spans="2:20" ht="15.75" x14ac:dyDescent="0.35">
      <c r="B59" s="352"/>
      <c r="C59" s="355" t="s">
        <v>66</v>
      </c>
      <c r="D59" s="355"/>
      <c r="E59" s="355"/>
      <c r="H59" s="355"/>
      <c r="I59" s="355"/>
      <c r="J59" s="357"/>
      <c r="K59" s="357"/>
      <c r="L59" s="398">
        <f>SUM(L53:L58)</f>
        <v>2708679.7363690492</v>
      </c>
      <c r="M59" s="371"/>
      <c r="N59" s="356"/>
      <c r="O59" s="389"/>
      <c r="P59" s="356"/>
      <c r="Q59" s="356"/>
      <c r="R59" s="355"/>
      <c r="S59" s="355"/>
      <c r="T59" s="355"/>
    </row>
    <row r="60" spans="2:20" x14ac:dyDescent="0.35">
      <c r="B60" s="352"/>
      <c r="C60" s="355"/>
      <c r="D60" s="355"/>
      <c r="E60" s="355" t="s">
        <v>22</v>
      </c>
      <c r="H60" s="355"/>
      <c r="I60" s="355"/>
      <c r="J60" s="357"/>
      <c r="K60" s="357"/>
      <c r="L60" s="396">
        <f>-L11</f>
        <v>-2560033.9120499995</v>
      </c>
      <c r="M60" s="364"/>
      <c r="N60" s="356"/>
      <c r="O60" s="389"/>
      <c r="P60" s="356"/>
      <c r="Q60" s="356"/>
      <c r="S60" s="355"/>
      <c r="T60" s="355"/>
    </row>
    <row r="61" spans="2:20" ht="15" customHeight="1" thickBot="1" x14ac:dyDescent="0.4">
      <c r="B61" s="352"/>
      <c r="C61" s="355" t="s">
        <v>101</v>
      </c>
      <c r="D61" s="355"/>
      <c r="E61" s="355"/>
      <c r="H61" s="355"/>
      <c r="I61" s="355"/>
      <c r="J61" s="357"/>
      <c r="K61" s="357"/>
      <c r="L61" s="399">
        <f>SUM(L59:L60)</f>
        <v>148645.82431904972</v>
      </c>
      <c r="M61" s="400"/>
      <c r="O61" s="389"/>
    </row>
    <row r="62" spans="2:20" ht="15" customHeight="1" thickTop="1" x14ac:dyDescent="0.35">
      <c r="B62" s="352"/>
      <c r="C62" s="355"/>
      <c r="D62" s="355"/>
      <c r="E62" s="355"/>
      <c r="H62" s="355"/>
      <c r="I62" s="355"/>
      <c r="J62" s="357"/>
      <c r="K62" s="357"/>
      <c r="L62" s="83"/>
      <c r="M62" s="400"/>
      <c r="O62" s="389"/>
    </row>
    <row r="63" spans="2:20" ht="15" customHeight="1" x14ac:dyDescent="0.35">
      <c r="B63" s="352"/>
      <c r="C63" s="355" t="s">
        <v>129</v>
      </c>
      <c r="D63" s="355"/>
      <c r="E63" s="355"/>
      <c r="H63" s="355"/>
      <c r="I63" s="355"/>
      <c r="J63" s="357"/>
      <c r="K63" s="357"/>
      <c r="L63" s="439">
        <f>ROUND(L61/-L60,4)</f>
        <v>5.8099999999999999E-2</v>
      </c>
      <c r="M63" s="400"/>
      <c r="N63" s="401" t="s">
        <v>367</v>
      </c>
    </row>
    <row r="64" spans="2:20" x14ac:dyDescent="0.35">
      <c r="B64" s="358"/>
      <c r="C64" s="402"/>
      <c r="D64" s="402"/>
      <c r="E64" s="402"/>
      <c r="F64" s="402"/>
      <c r="G64" s="402"/>
      <c r="H64" s="402"/>
      <c r="I64" s="402"/>
      <c r="J64" s="403"/>
      <c r="K64" s="403"/>
      <c r="L64" s="402"/>
      <c r="M64" s="404"/>
    </row>
  </sheetData>
  <mergeCells count="3">
    <mergeCell ref="C4:L4"/>
    <mergeCell ref="C3:L3"/>
    <mergeCell ref="C49:L49"/>
  </mergeCells>
  <printOptions horizontalCentered="1"/>
  <pageMargins left="1.1000000000000001" right="1" top="0.6" bottom="0.5" header="0" footer="0"/>
  <pageSetup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DD8D1-49C7-44A0-A397-8C87FC73C3E2}">
  <dimension ref="A1:O76"/>
  <sheetViews>
    <sheetView showGridLines="0" workbookViewId="0">
      <selection activeCell="A5" sqref="A5:I54"/>
    </sheetView>
  </sheetViews>
  <sheetFormatPr defaultColWidth="6.77734375" defaultRowHeight="12.75" x14ac:dyDescent="0.35"/>
  <cols>
    <col min="1" max="1" width="10.33203125" style="118" customWidth="1"/>
    <col min="2" max="2" width="8.77734375" style="118" customWidth="1"/>
    <col min="3" max="3" width="9.88671875" style="118" customWidth="1"/>
    <col min="4" max="4" width="8.5546875" style="118" customWidth="1"/>
    <col min="5" max="5" width="10.33203125" style="120" customWidth="1"/>
    <col min="6" max="6" width="9.44140625" style="120" customWidth="1"/>
    <col min="7" max="7" width="10.21875" style="120" customWidth="1"/>
    <col min="8" max="8" width="9.44140625" style="120" customWidth="1"/>
    <col min="9" max="9" width="10.77734375" style="120" customWidth="1"/>
    <col min="10" max="12" width="9.109375" style="120" customWidth="1"/>
    <col min="13" max="13" width="10.109375" style="120" customWidth="1"/>
    <col min="14" max="14" width="9.109375" style="120" customWidth="1"/>
    <col min="15" max="15" width="9.88671875" style="120" bestFit="1" customWidth="1"/>
    <col min="16" max="16384" width="6.77734375" style="120"/>
  </cols>
  <sheetData>
    <row r="1" spans="1:15" ht="13.15" x14ac:dyDescent="0.4">
      <c r="B1" s="119" t="s">
        <v>167</v>
      </c>
      <c r="E1" s="118"/>
    </row>
    <row r="2" spans="1:15" ht="13.15" x14ac:dyDescent="0.4">
      <c r="A2" s="120"/>
      <c r="B2" s="119" t="s">
        <v>250</v>
      </c>
      <c r="C2" s="121"/>
      <c r="D2" s="121"/>
      <c r="E2" s="121"/>
    </row>
    <row r="3" spans="1:15" x14ac:dyDescent="0.35">
      <c r="A3" s="122"/>
      <c r="B3" s="123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5" x14ac:dyDescent="0.35">
      <c r="A4" s="120"/>
      <c r="B4" s="124"/>
      <c r="C4" s="124"/>
      <c r="D4" s="124"/>
      <c r="E4" s="124"/>
    </row>
    <row r="5" spans="1:15" s="118" customFormat="1" ht="13.15" x14ac:dyDescent="0.4">
      <c r="A5" s="125" t="s">
        <v>251</v>
      </c>
      <c r="B5" s="498" t="s">
        <v>252</v>
      </c>
      <c r="C5" s="498"/>
      <c r="D5" s="498"/>
      <c r="E5" s="499"/>
      <c r="F5" s="500" t="s">
        <v>253</v>
      </c>
      <c r="G5" s="498"/>
      <c r="H5" s="498"/>
      <c r="I5" s="499"/>
      <c r="J5" s="501" t="s">
        <v>254</v>
      </c>
      <c r="K5" s="502"/>
      <c r="L5" s="502"/>
      <c r="M5" s="503"/>
    </row>
    <row r="6" spans="1:15" s="118" customFormat="1" ht="13.15" x14ac:dyDescent="0.4">
      <c r="A6" s="126" t="s">
        <v>255</v>
      </c>
      <c r="B6" s="486">
        <v>2020</v>
      </c>
      <c r="C6" s="486"/>
      <c r="D6" s="486"/>
      <c r="E6" s="487"/>
      <c r="F6" s="488">
        <v>2021</v>
      </c>
      <c r="G6" s="486"/>
      <c r="H6" s="486"/>
      <c r="I6" s="487"/>
      <c r="J6" s="489" t="s">
        <v>256</v>
      </c>
      <c r="K6" s="490"/>
      <c r="L6" s="490"/>
      <c r="M6" s="491"/>
    </row>
    <row r="7" spans="1:15" s="118" customFormat="1" ht="13.15" x14ac:dyDescent="0.4">
      <c r="A7" s="126" t="s">
        <v>257</v>
      </c>
      <c r="B7" s="492">
        <v>1.8749999999999999E-2</v>
      </c>
      <c r="C7" s="492"/>
      <c r="D7" s="492"/>
      <c r="E7" s="493"/>
      <c r="F7" s="494" t="s">
        <v>258</v>
      </c>
      <c r="G7" s="492"/>
      <c r="H7" s="492"/>
      <c r="I7" s="493"/>
      <c r="J7" s="495"/>
      <c r="K7" s="496"/>
      <c r="L7" s="496"/>
      <c r="M7" s="497"/>
    </row>
    <row r="8" spans="1:15" s="118" customFormat="1" ht="13.15" x14ac:dyDescent="0.4">
      <c r="A8" s="126" t="s">
        <v>259</v>
      </c>
      <c r="B8" s="492" t="s">
        <v>260</v>
      </c>
      <c r="C8" s="492"/>
      <c r="D8" s="492"/>
      <c r="E8" s="493"/>
      <c r="F8" s="494">
        <v>1.8499999999999999E-2</v>
      </c>
      <c r="G8" s="492"/>
      <c r="H8" s="492"/>
      <c r="I8" s="493"/>
      <c r="J8" s="495"/>
      <c r="K8" s="496"/>
      <c r="L8" s="496"/>
      <c r="M8" s="497"/>
    </row>
    <row r="9" spans="1:15" s="118" customFormat="1" ht="13.15" x14ac:dyDescent="0.4">
      <c r="A9" s="126" t="s">
        <v>261</v>
      </c>
      <c r="B9" s="486" t="s">
        <v>262</v>
      </c>
      <c r="C9" s="486"/>
      <c r="D9" s="486"/>
      <c r="E9" s="487"/>
      <c r="F9" s="488" t="s">
        <v>263</v>
      </c>
      <c r="G9" s="486"/>
      <c r="H9" s="486"/>
      <c r="I9" s="487"/>
      <c r="J9" s="489"/>
      <c r="K9" s="490"/>
      <c r="L9" s="490"/>
      <c r="M9" s="491"/>
    </row>
    <row r="10" spans="1:15" s="118" customFormat="1" ht="13.15" x14ac:dyDescent="0.4">
      <c r="A10" s="126" t="s">
        <v>264</v>
      </c>
      <c r="B10" s="486" t="s">
        <v>265</v>
      </c>
      <c r="C10" s="486"/>
      <c r="D10" s="486"/>
      <c r="E10" s="487"/>
      <c r="F10" s="486" t="s">
        <v>265</v>
      </c>
      <c r="G10" s="486"/>
      <c r="H10" s="486"/>
      <c r="I10" s="487"/>
      <c r="J10" s="489"/>
      <c r="K10" s="490"/>
      <c r="L10" s="490"/>
      <c r="M10" s="491"/>
    </row>
    <row r="11" spans="1:15" s="118" customFormat="1" ht="13.15" x14ac:dyDescent="0.4">
      <c r="A11" s="127" t="s">
        <v>266</v>
      </c>
      <c r="B11" s="478">
        <v>1529500</v>
      </c>
      <c r="C11" s="478"/>
      <c r="D11" s="478"/>
      <c r="E11" s="479"/>
      <c r="F11" s="480">
        <v>1495000</v>
      </c>
      <c r="G11" s="481"/>
      <c r="H11" s="481"/>
      <c r="I11" s="482"/>
      <c r="J11" s="483">
        <f>SUM(B11:G11)</f>
        <v>3024500</v>
      </c>
      <c r="K11" s="484"/>
      <c r="L11" s="484"/>
      <c r="M11" s="485"/>
      <c r="N11" s="128"/>
    </row>
    <row r="12" spans="1:15" s="118" customFormat="1" ht="13.15" x14ac:dyDescent="0.4">
      <c r="A12" s="129" t="s">
        <v>267</v>
      </c>
      <c r="B12" s="130" t="s">
        <v>27</v>
      </c>
      <c r="C12" s="130" t="s">
        <v>28</v>
      </c>
      <c r="D12" s="130" t="s">
        <v>268</v>
      </c>
      <c r="E12" s="131" t="s">
        <v>54</v>
      </c>
      <c r="F12" s="132" t="s">
        <v>27</v>
      </c>
      <c r="G12" s="130" t="s">
        <v>28</v>
      </c>
      <c r="H12" s="130" t="s">
        <v>268</v>
      </c>
      <c r="I12" s="133" t="s">
        <v>54</v>
      </c>
      <c r="J12" s="134" t="s">
        <v>27</v>
      </c>
      <c r="K12" s="135" t="s">
        <v>28</v>
      </c>
      <c r="L12" s="136" t="s">
        <v>268</v>
      </c>
      <c r="M12" s="137" t="s">
        <v>54</v>
      </c>
    </row>
    <row r="13" spans="1:15" ht="13.15" x14ac:dyDescent="0.4">
      <c r="A13" s="129"/>
      <c r="B13" s="130"/>
      <c r="C13" s="130"/>
      <c r="D13" s="130"/>
      <c r="E13" s="138"/>
      <c r="F13" s="139"/>
      <c r="G13" s="140"/>
      <c r="H13" s="140"/>
      <c r="I13" s="138"/>
      <c r="J13" s="141"/>
      <c r="K13" s="142"/>
      <c r="L13" s="142"/>
      <c r="M13" s="143"/>
    </row>
    <row r="14" spans="1:15" ht="15" x14ac:dyDescent="0.4">
      <c r="A14" s="126">
        <v>2022</v>
      </c>
      <c r="B14" s="144">
        <v>26500</v>
      </c>
      <c r="C14" s="144">
        <f>14095.31+13846.88</f>
        <v>27942.19</v>
      </c>
      <c r="D14" s="145">
        <v>0</v>
      </c>
      <c r="E14" s="146">
        <f t="shared" ref="E14:E52" si="0">SUM(B14:D14)</f>
        <v>54442.19</v>
      </c>
      <c r="F14" s="147">
        <v>65000</v>
      </c>
      <c r="G14" s="144">
        <f>33226.77+24287.5</f>
        <v>57514.27</v>
      </c>
      <c r="H14" s="144">
        <v>450</v>
      </c>
      <c r="I14" s="146">
        <f t="shared" ref="I14:I52" si="1">+F14+G14+H14</f>
        <v>122964.26999999999</v>
      </c>
      <c r="J14" s="148">
        <f t="shared" ref="J14:L52" si="2">+B14+F14</f>
        <v>91500</v>
      </c>
      <c r="K14" s="149">
        <f t="shared" si="2"/>
        <v>85456.459999999992</v>
      </c>
      <c r="L14" s="149">
        <f t="shared" si="2"/>
        <v>450</v>
      </c>
      <c r="M14" s="150">
        <f t="shared" ref="M14:M52" si="3">+J14+K14+L14</f>
        <v>177406.46</v>
      </c>
      <c r="O14" s="151"/>
    </row>
    <row r="15" spans="1:15" ht="15" x14ac:dyDescent="0.4">
      <c r="A15" s="126">
        <v>2023</v>
      </c>
      <c r="B15" s="144">
        <v>27000</v>
      </c>
      <c r="C15" s="144">
        <f>13846.88+13593.75</f>
        <v>27440.629999999997</v>
      </c>
      <c r="D15" s="145">
        <v>0</v>
      </c>
      <c r="E15" s="146">
        <f t="shared" si="0"/>
        <v>54440.63</v>
      </c>
      <c r="F15" s="147">
        <v>105000</v>
      </c>
      <c r="G15" s="144">
        <f>24287.5+22056.25</f>
        <v>46343.75</v>
      </c>
      <c r="H15" s="144">
        <v>450</v>
      </c>
      <c r="I15" s="146">
        <f t="shared" si="1"/>
        <v>151793.75</v>
      </c>
      <c r="J15" s="148">
        <f t="shared" si="2"/>
        <v>132000</v>
      </c>
      <c r="K15" s="149">
        <f t="shared" si="2"/>
        <v>73784.38</v>
      </c>
      <c r="L15" s="149">
        <f t="shared" si="2"/>
        <v>450</v>
      </c>
      <c r="M15" s="150">
        <f t="shared" si="3"/>
        <v>206234.38</v>
      </c>
      <c r="O15" s="151"/>
    </row>
    <row r="16" spans="1:15" ht="15" x14ac:dyDescent="0.4">
      <c r="A16" s="126">
        <v>2024</v>
      </c>
      <c r="B16" s="144">
        <v>27500</v>
      </c>
      <c r="C16" s="144">
        <f>13593.75+13335.94</f>
        <v>26929.690000000002</v>
      </c>
      <c r="D16" s="145">
        <v>0</v>
      </c>
      <c r="E16" s="146">
        <f t="shared" si="0"/>
        <v>54429.69</v>
      </c>
      <c r="F16" s="147">
        <v>110000</v>
      </c>
      <c r="G16" s="144">
        <f>22056.25+19718.75</f>
        <v>41775</v>
      </c>
      <c r="H16" s="144">
        <v>450</v>
      </c>
      <c r="I16" s="146">
        <f t="shared" si="1"/>
        <v>152225</v>
      </c>
      <c r="J16" s="148">
        <f t="shared" si="2"/>
        <v>137500</v>
      </c>
      <c r="K16" s="149">
        <f t="shared" si="2"/>
        <v>68704.69</v>
      </c>
      <c r="L16" s="149">
        <f t="shared" si="2"/>
        <v>450</v>
      </c>
      <c r="M16" s="150">
        <f t="shared" si="3"/>
        <v>206654.69</v>
      </c>
      <c r="O16" s="151">
        <f>K16</f>
        <v>68704.69</v>
      </c>
    </row>
    <row r="17" spans="1:15" ht="15" x14ac:dyDescent="0.4">
      <c r="A17" s="126">
        <v>2025</v>
      </c>
      <c r="B17" s="144">
        <v>28000</v>
      </c>
      <c r="C17" s="144">
        <f>13335.94+13073.44</f>
        <v>26409.38</v>
      </c>
      <c r="D17" s="145">
        <v>0</v>
      </c>
      <c r="E17" s="146">
        <f t="shared" si="0"/>
        <v>54409.380000000005</v>
      </c>
      <c r="F17" s="147">
        <v>110000</v>
      </c>
      <c r="G17" s="144">
        <f>19718.75+17381.25</f>
        <v>37100</v>
      </c>
      <c r="H17" s="144">
        <v>450</v>
      </c>
      <c r="I17" s="146">
        <f t="shared" si="1"/>
        <v>147550</v>
      </c>
      <c r="J17" s="148">
        <f t="shared" si="2"/>
        <v>138000</v>
      </c>
      <c r="K17" s="149">
        <f t="shared" si="2"/>
        <v>63509.380000000005</v>
      </c>
      <c r="L17" s="149">
        <f t="shared" si="2"/>
        <v>450</v>
      </c>
      <c r="M17" s="150">
        <f t="shared" si="3"/>
        <v>201959.38</v>
      </c>
      <c r="O17" s="151">
        <f t="shared" ref="O17:O20" si="4">K17</f>
        <v>63509.380000000005</v>
      </c>
    </row>
    <row r="18" spans="1:15" ht="15" x14ac:dyDescent="0.4">
      <c r="A18" s="126">
        <v>2026</v>
      </c>
      <c r="B18" s="144">
        <v>28500</v>
      </c>
      <c r="C18" s="144">
        <f>13073.44+12806.25</f>
        <v>25879.690000000002</v>
      </c>
      <c r="D18" s="145">
        <v>0</v>
      </c>
      <c r="E18" s="146">
        <f t="shared" si="0"/>
        <v>54379.69</v>
      </c>
      <c r="F18" s="147">
        <v>115000</v>
      </c>
      <c r="G18" s="144">
        <f>17381.25+14937.5</f>
        <v>32318.75</v>
      </c>
      <c r="H18" s="144">
        <v>450</v>
      </c>
      <c r="I18" s="146">
        <f t="shared" si="1"/>
        <v>147768.75</v>
      </c>
      <c r="J18" s="148">
        <f t="shared" si="2"/>
        <v>143500</v>
      </c>
      <c r="K18" s="149">
        <f t="shared" si="2"/>
        <v>58198.44</v>
      </c>
      <c r="L18" s="149">
        <f t="shared" si="2"/>
        <v>450</v>
      </c>
      <c r="M18" s="150">
        <f t="shared" si="3"/>
        <v>202148.44</v>
      </c>
      <c r="O18" s="151">
        <f t="shared" si="4"/>
        <v>58198.44</v>
      </c>
    </row>
    <row r="19" spans="1:15" ht="15" x14ac:dyDescent="0.4">
      <c r="A19" s="126">
        <v>2027</v>
      </c>
      <c r="B19" s="144">
        <v>29000</v>
      </c>
      <c r="C19" s="144">
        <f>12806.25+12534.38</f>
        <v>25340.629999999997</v>
      </c>
      <c r="D19" s="145">
        <v>0</v>
      </c>
      <c r="E19" s="146">
        <f t="shared" si="0"/>
        <v>54340.63</v>
      </c>
      <c r="F19" s="147">
        <v>120000</v>
      </c>
      <c r="G19" s="144">
        <f>14937.5+12387.5</f>
        <v>27325</v>
      </c>
      <c r="H19" s="144">
        <v>450</v>
      </c>
      <c r="I19" s="146">
        <f t="shared" si="1"/>
        <v>147775</v>
      </c>
      <c r="J19" s="148">
        <f t="shared" si="2"/>
        <v>149000</v>
      </c>
      <c r="K19" s="149">
        <f t="shared" si="2"/>
        <v>52665.63</v>
      </c>
      <c r="L19" s="149">
        <f t="shared" si="2"/>
        <v>450</v>
      </c>
      <c r="M19" s="150">
        <f t="shared" si="3"/>
        <v>202115.63</v>
      </c>
      <c r="O19" s="151">
        <f t="shared" si="4"/>
        <v>52665.63</v>
      </c>
    </row>
    <row r="20" spans="1:15" ht="15" x14ac:dyDescent="0.4">
      <c r="A20" s="126">
        <v>2028</v>
      </c>
      <c r="B20" s="144">
        <v>29500</v>
      </c>
      <c r="C20" s="144">
        <f>12534.38+12257.81</f>
        <v>24792.19</v>
      </c>
      <c r="D20" s="145">
        <v>0</v>
      </c>
      <c r="E20" s="146">
        <f t="shared" si="0"/>
        <v>54292.19</v>
      </c>
      <c r="F20" s="147">
        <v>125000</v>
      </c>
      <c r="G20" s="144">
        <f>12387.5+9731.25</f>
        <v>22118.75</v>
      </c>
      <c r="H20" s="144">
        <v>450</v>
      </c>
      <c r="I20" s="146">
        <f t="shared" si="1"/>
        <v>147568.75</v>
      </c>
      <c r="J20" s="148">
        <f t="shared" si="2"/>
        <v>154500</v>
      </c>
      <c r="K20" s="149">
        <f t="shared" si="2"/>
        <v>46910.94</v>
      </c>
      <c r="L20" s="149">
        <f t="shared" si="2"/>
        <v>450</v>
      </c>
      <c r="M20" s="150">
        <f t="shared" si="3"/>
        <v>201860.94</v>
      </c>
      <c r="O20" s="151">
        <f t="shared" si="4"/>
        <v>46910.94</v>
      </c>
    </row>
    <row r="21" spans="1:15" ht="15" x14ac:dyDescent="0.4">
      <c r="A21" s="126">
        <v>2029</v>
      </c>
      <c r="B21" s="144">
        <v>30000</v>
      </c>
      <c r="C21" s="144">
        <f>12257.81+11976.56</f>
        <v>24234.37</v>
      </c>
      <c r="D21" s="145">
        <v>0</v>
      </c>
      <c r="E21" s="146">
        <f t="shared" si="0"/>
        <v>54234.369999999995</v>
      </c>
      <c r="F21" s="147">
        <v>135000</v>
      </c>
      <c r="G21" s="144">
        <f>9731.25+6862.5</f>
        <v>16593.75</v>
      </c>
      <c r="H21" s="144">
        <v>450</v>
      </c>
      <c r="I21" s="146">
        <f t="shared" si="1"/>
        <v>152043.75</v>
      </c>
      <c r="J21" s="148">
        <f t="shared" si="2"/>
        <v>165000</v>
      </c>
      <c r="K21" s="149">
        <f t="shared" si="2"/>
        <v>40828.119999999995</v>
      </c>
      <c r="L21" s="149">
        <f t="shared" si="2"/>
        <v>450</v>
      </c>
      <c r="M21" s="150">
        <f t="shared" si="3"/>
        <v>206278.12</v>
      </c>
      <c r="O21" s="151">
        <f>SUM(O16:O20)</f>
        <v>289989.08</v>
      </c>
    </row>
    <row r="22" spans="1:15" ht="15" x14ac:dyDescent="0.4">
      <c r="A22" s="126">
        <v>2030</v>
      </c>
      <c r="B22" s="144">
        <v>30500</v>
      </c>
      <c r="C22" s="144">
        <f>11976.56+11690.63</f>
        <v>23667.19</v>
      </c>
      <c r="D22" s="145">
        <v>0</v>
      </c>
      <c r="E22" s="146">
        <f t="shared" si="0"/>
        <v>54167.19</v>
      </c>
      <c r="F22" s="147">
        <v>135000</v>
      </c>
      <c r="G22" s="144">
        <f>6862.5+5343.75</f>
        <v>12206.25</v>
      </c>
      <c r="H22" s="144">
        <v>450</v>
      </c>
      <c r="I22" s="146">
        <f t="shared" si="1"/>
        <v>147656.25</v>
      </c>
      <c r="J22" s="148">
        <f t="shared" si="2"/>
        <v>165500</v>
      </c>
      <c r="K22" s="149">
        <f t="shared" si="2"/>
        <v>35873.440000000002</v>
      </c>
      <c r="L22" s="149">
        <f t="shared" si="2"/>
        <v>450</v>
      </c>
      <c r="M22" s="150">
        <f t="shared" si="3"/>
        <v>201823.44</v>
      </c>
      <c r="O22" s="151"/>
    </row>
    <row r="23" spans="1:15" ht="15" x14ac:dyDescent="0.4">
      <c r="A23" s="126">
        <v>2031</v>
      </c>
      <c r="B23" s="144">
        <v>31500</v>
      </c>
      <c r="C23" s="144">
        <f>11690.63+11395.31</f>
        <v>23085.94</v>
      </c>
      <c r="D23" s="145">
        <v>0</v>
      </c>
      <c r="E23" s="146">
        <f t="shared" si="0"/>
        <v>54585.94</v>
      </c>
      <c r="F23" s="147">
        <v>140000</v>
      </c>
      <c r="G23" s="144">
        <f>5343.75+3768.75</f>
        <v>9112.5</v>
      </c>
      <c r="H23" s="144">
        <v>450</v>
      </c>
      <c r="I23" s="146">
        <f t="shared" si="1"/>
        <v>149562.5</v>
      </c>
      <c r="J23" s="148">
        <f t="shared" si="2"/>
        <v>171500</v>
      </c>
      <c r="K23" s="149">
        <f t="shared" si="2"/>
        <v>32198.44</v>
      </c>
      <c r="L23" s="149">
        <f t="shared" si="2"/>
        <v>450</v>
      </c>
      <c r="M23" s="150">
        <f t="shared" si="3"/>
        <v>204148.44</v>
      </c>
      <c r="O23" s="151">
        <f>O21/5</f>
        <v>57997.816000000006</v>
      </c>
    </row>
    <row r="24" spans="1:15" ht="15" x14ac:dyDescent="0.4">
      <c r="A24" s="126">
        <v>2032</v>
      </c>
      <c r="B24" s="144">
        <v>32000</v>
      </c>
      <c r="C24" s="144">
        <f>11395.31+11095.31</f>
        <v>22490.62</v>
      </c>
      <c r="D24" s="145">
        <v>0</v>
      </c>
      <c r="E24" s="146">
        <f t="shared" si="0"/>
        <v>54490.619999999995</v>
      </c>
      <c r="F24" s="147">
        <v>145000</v>
      </c>
      <c r="G24" s="144">
        <f>3768.75+2137.5</f>
        <v>5906.25</v>
      </c>
      <c r="H24" s="144">
        <v>450</v>
      </c>
      <c r="I24" s="146">
        <f t="shared" si="1"/>
        <v>151356.25</v>
      </c>
      <c r="J24" s="148">
        <f t="shared" si="2"/>
        <v>177000</v>
      </c>
      <c r="K24" s="149">
        <f t="shared" si="2"/>
        <v>28396.87</v>
      </c>
      <c r="L24" s="149">
        <f t="shared" si="2"/>
        <v>450</v>
      </c>
      <c r="M24" s="150">
        <f t="shared" si="3"/>
        <v>205846.87</v>
      </c>
      <c r="O24" s="151"/>
    </row>
    <row r="25" spans="1:15" ht="15" x14ac:dyDescent="0.4">
      <c r="A25" s="126">
        <v>2033</v>
      </c>
      <c r="B25" s="144">
        <v>32500</v>
      </c>
      <c r="C25" s="144">
        <f>11095.31+10790.63</f>
        <v>21885.94</v>
      </c>
      <c r="D25" s="145">
        <v>0</v>
      </c>
      <c r="E25" s="146">
        <f t="shared" si="0"/>
        <v>54385.94</v>
      </c>
      <c r="F25" s="147">
        <v>145000</v>
      </c>
      <c r="G25" s="144">
        <f>2137.5+506.25</f>
        <v>2643.75</v>
      </c>
      <c r="H25" s="144">
        <v>450</v>
      </c>
      <c r="I25" s="146">
        <f t="shared" si="1"/>
        <v>148093.75</v>
      </c>
      <c r="J25" s="148">
        <f t="shared" si="2"/>
        <v>177500</v>
      </c>
      <c r="K25" s="149">
        <f t="shared" si="2"/>
        <v>24529.69</v>
      </c>
      <c r="L25" s="149">
        <f t="shared" si="2"/>
        <v>450</v>
      </c>
      <c r="M25" s="150">
        <f t="shared" si="3"/>
        <v>202479.69</v>
      </c>
      <c r="O25" s="151"/>
    </row>
    <row r="26" spans="1:15" ht="15" x14ac:dyDescent="0.4">
      <c r="A26" s="126">
        <v>2034</v>
      </c>
      <c r="B26" s="144">
        <v>33000</v>
      </c>
      <c r="C26" s="144">
        <f>10790.63+10481.25</f>
        <v>21271.879999999997</v>
      </c>
      <c r="D26" s="145">
        <v>0</v>
      </c>
      <c r="E26" s="146">
        <f t="shared" si="0"/>
        <v>54271.88</v>
      </c>
      <c r="F26" s="147">
        <v>45000</v>
      </c>
      <c r="G26" s="144">
        <v>506.25</v>
      </c>
      <c r="H26" s="144">
        <v>450</v>
      </c>
      <c r="I26" s="146">
        <f t="shared" si="1"/>
        <v>45956.25</v>
      </c>
      <c r="J26" s="148">
        <f t="shared" si="2"/>
        <v>78000</v>
      </c>
      <c r="K26" s="149">
        <f t="shared" si="2"/>
        <v>21778.129999999997</v>
      </c>
      <c r="L26" s="149">
        <f t="shared" si="2"/>
        <v>450</v>
      </c>
      <c r="M26" s="150">
        <f t="shared" si="3"/>
        <v>100228.13</v>
      </c>
      <c r="O26" s="151"/>
    </row>
    <row r="27" spans="1:15" ht="15" x14ac:dyDescent="0.4">
      <c r="A27" s="126">
        <v>2035</v>
      </c>
      <c r="B27" s="144">
        <v>33500</v>
      </c>
      <c r="C27" s="144">
        <f>10481.25+10167.19</f>
        <v>20648.440000000002</v>
      </c>
      <c r="D27" s="145">
        <v>0</v>
      </c>
      <c r="E27" s="146">
        <f t="shared" si="0"/>
        <v>54148.44</v>
      </c>
      <c r="F27" s="147">
        <v>0</v>
      </c>
      <c r="G27" s="144">
        <v>0</v>
      </c>
      <c r="H27" s="144">
        <v>0</v>
      </c>
      <c r="I27" s="146">
        <f t="shared" si="1"/>
        <v>0</v>
      </c>
      <c r="J27" s="148">
        <f t="shared" si="2"/>
        <v>33500</v>
      </c>
      <c r="K27" s="149">
        <f t="shared" si="2"/>
        <v>20648.440000000002</v>
      </c>
      <c r="L27" s="149">
        <f t="shared" si="2"/>
        <v>0</v>
      </c>
      <c r="M27" s="150">
        <f t="shared" si="3"/>
        <v>54148.44</v>
      </c>
      <c r="O27" s="151"/>
    </row>
    <row r="28" spans="1:15" ht="15" x14ac:dyDescent="0.4">
      <c r="A28" s="126">
        <v>2036</v>
      </c>
      <c r="B28" s="144">
        <v>34500</v>
      </c>
      <c r="C28" s="144">
        <f>10167.19+9843.75</f>
        <v>20010.940000000002</v>
      </c>
      <c r="D28" s="145">
        <v>0</v>
      </c>
      <c r="E28" s="146">
        <f t="shared" si="0"/>
        <v>54510.94</v>
      </c>
      <c r="F28" s="147">
        <v>0</v>
      </c>
      <c r="G28" s="144">
        <v>0</v>
      </c>
      <c r="H28" s="144">
        <v>0</v>
      </c>
      <c r="I28" s="146">
        <f t="shared" si="1"/>
        <v>0</v>
      </c>
      <c r="J28" s="148">
        <f t="shared" si="2"/>
        <v>34500</v>
      </c>
      <c r="K28" s="149">
        <f t="shared" si="2"/>
        <v>20010.940000000002</v>
      </c>
      <c r="L28" s="149">
        <f t="shared" si="2"/>
        <v>0</v>
      </c>
      <c r="M28" s="150">
        <f t="shared" si="3"/>
        <v>54510.94</v>
      </c>
      <c r="O28" s="151"/>
    </row>
    <row r="29" spans="1:15" ht="15" x14ac:dyDescent="0.4">
      <c r="A29" s="126">
        <v>2037</v>
      </c>
      <c r="B29" s="144">
        <v>35000</v>
      </c>
      <c r="C29" s="144">
        <f>9843.75+9515.63</f>
        <v>19359.379999999997</v>
      </c>
      <c r="D29" s="145">
        <v>0</v>
      </c>
      <c r="E29" s="146">
        <f t="shared" si="0"/>
        <v>54359.38</v>
      </c>
      <c r="F29" s="147">
        <v>0</v>
      </c>
      <c r="G29" s="144">
        <v>0</v>
      </c>
      <c r="H29" s="144">
        <v>0</v>
      </c>
      <c r="I29" s="146">
        <f t="shared" si="1"/>
        <v>0</v>
      </c>
      <c r="J29" s="148">
        <f t="shared" si="2"/>
        <v>35000</v>
      </c>
      <c r="K29" s="149">
        <f t="shared" si="2"/>
        <v>19359.379999999997</v>
      </c>
      <c r="L29" s="149">
        <f t="shared" si="2"/>
        <v>0</v>
      </c>
      <c r="M29" s="150">
        <f t="shared" si="3"/>
        <v>54359.38</v>
      </c>
      <c r="O29" s="151"/>
    </row>
    <row r="30" spans="1:15" ht="15" x14ac:dyDescent="0.4">
      <c r="A30" s="126">
        <v>2038</v>
      </c>
      <c r="B30" s="144">
        <v>35500</v>
      </c>
      <c r="C30" s="144">
        <f>9515.63+9182.81</f>
        <v>18698.439999999999</v>
      </c>
      <c r="D30" s="145">
        <v>0</v>
      </c>
      <c r="E30" s="146">
        <f t="shared" si="0"/>
        <v>54198.44</v>
      </c>
      <c r="F30" s="147">
        <v>0</v>
      </c>
      <c r="G30" s="144">
        <v>0</v>
      </c>
      <c r="H30" s="144">
        <v>0</v>
      </c>
      <c r="I30" s="146">
        <f t="shared" si="1"/>
        <v>0</v>
      </c>
      <c r="J30" s="148">
        <f t="shared" si="2"/>
        <v>35500</v>
      </c>
      <c r="K30" s="149">
        <f t="shared" si="2"/>
        <v>18698.439999999999</v>
      </c>
      <c r="L30" s="149">
        <f t="shared" si="2"/>
        <v>0</v>
      </c>
      <c r="M30" s="150">
        <f t="shared" si="3"/>
        <v>54198.44</v>
      </c>
      <c r="O30" s="151"/>
    </row>
    <row r="31" spans="1:15" ht="15" x14ac:dyDescent="0.4">
      <c r="A31" s="126">
        <v>2039</v>
      </c>
      <c r="B31" s="144">
        <v>36500</v>
      </c>
      <c r="C31" s="144">
        <f>9182.81+8840.63</f>
        <v>18023.439999999999</v>
      </c>
      <c r="D31" s="145">
        <v>0</v>
      </c>
      <c r="E31" s="146">
        <f t="shared" si="0"/>
        <v>54523.44</v>
      </c>
      <c r="F31" s="147">
        <v>0</v>
      </c>
      <c r="G31" s="144">
        <v>0</v>
      </c>
      <c r="H31" s="144">
        <v>0</v>
      </c>
      <c r="I31" s="146">
        <f t="shared" si="1"/>
        <v>0</v>
      </c>
      <c r="J31" s="148">
        <f t="shared" si="2"/>
        <v>36500</v>
      </c>
      <c r="K31" s="149">
        <f t="shared" si="2"/>
        <v>18023.439999999999</v>
      </c>
      <c r="L31" s="149">
        <f t="shared" si="2"/>
        <v>0</v>
      </c>
      <c r="M31" s="150">
        <f t="shared" si="3"/>
        <v>54523.44</v>
      </c>
      <c r="O31" s="151"/>
    </row>
    <row r="32" spans="1:15" ht="15" x14ac:dyDescent="0.4">
      <c r="A32" s="126">
        <v>2040</v>
      </c>
      <c r="B32" s="144">
        <v>37000</v>
      </c>
      <c r="C32" s="144">
        <f>8840.63+8493.75</f>
        <v>17334.379999999997</v>
      </c>
      <c r="D32" s="145">
        <v>0</v>
      </c>
      <c r="E32" s="146">
        <f t="shared" si="0"/>
        <v>54334.38</v>
      </c>
      <c r="F32" s="147">
        <v>0</v>
      </c>
      <c r="G32" s="144">
        <v>0</v>
      </c>
      <c r="H32" s="144">
        <v>0</v>
      </c>
      <c r="I32" s="146">
        <f t="shared" si="1"/>
        <v>0</v>
      </c>
      <c r="J32" s="148">
        <f t="shared" si="2"/>
        <v>37000</v>
      </c>
      <c r="K32" s="149">
        <f t="shared" si="2"/>
        <v>17334.379999999997</v>
      </c>
      <c r="L32" s="149">
        <f t="shared" si="2"/>
        <v>0</v>
      </c>
      <c r="M32" s="150">
        <f t="shared" si="3"/>
        <v>54334.38</v>
      </c>
      <c r="O32" s="151"/>
    </row>
    <row r="33" spans="1:15" ht="15" x14ac:dyDescent="0.4">
      <c r="A33" s="126">
        <v>2041</v>
      </c>
      <c r="B33" s="144">
        <v>37500</v>
      </c>
      <c r="C33" s="144">
        <f>8493.75+8142.19</f>
        <v>16635.939999999999</v>
      </c>
      <c r="D33" s="145">
        <v>0</v>
      </c>
      <c r="E33" s="146">
        <f t="shared" si="0"/>
        <v>54135.94</v>
      </c>
      <c r="F33" s="147">
        <v>0</v>
      </c>
      <c r="G33" s="144">
        <v>0</v>
      </c>
      <c r="H33" s="144">
        <v>0</v>
      </c>
      <c r="I33" s="146">
        <f t="shared" si="1"/>
        <v>0</v>
      </c>
      <c r="J33" s="148">
        <f t="shared" si="2"/>
        <v>37500</v>
      </c>
      <c r="K33" s="149">
        <f t="shared" si="2"/>
        <v>16635.939999999999</v>
      </c>
      <c r="L33" s="149">
        <f t="shared" si="2"/>
        <v>0</v>
      </c>
      <c r="M33" s="150">
        <f t="shared" si="3"/>
        <v>54135.94</v>
      </c>
      <c r="O33" s="151"/>
    </row>
    <row r="34" spans="1:15" ht="15" x14ac:dyDescent="0.4">
      <c r="A34" s="126">
        <v>2042</v>
      </c>
      <c r="B34" s="144">
        <v>38500</v>
      </c>
      <c r="C34" s="144">
        <f>8142.19+7781.25</f>
        <v>15923.439999999999</v>
      </c>
      <c r="D34" s="145">
        <v>0</v>
      </c>
      <c r="E34" s="146">
        <f t="shared" si="0"/>
        <v>54423.44</v>
      </c>
      <c r="F34" s="147">
        <v>0</v>
      </c>
      <c r="G34" s="144">
        <v>0</v>
      </c>
      <c r="H34" s="144">
        <v>0</v>
      </c>
      <c r="I34" s="146">
        <f t="shared" si="1"/>
        <v>0</v>
      </c>
      <c r="J34" s="148">
        <f t="shared" si="2"/>
        <v>38500</v>
      </c>
      <c r="K34" s="149">
        <f t="shared" si="2"/>
        <v>15923.439999999999</v>
      </c>
      <c r="L34" s="149">
        <f t="shared" si="2"/>
        <v>0</v>
      </c>
      <c r="M34" s="150">
        <f t="shared" si="3"/>
        <v>54423.44</v>
      </c>
      <c r="O34" s="151"/>
    </row>
    <row r="35" spans="1:15" ht="15" x14ac:dyDescent="0.4">
      <c r="A35" s="126">
        <v>2043</v>
      </c>
      <c r="B35" s="144">
        <v>39000</v>
      </c>
      <c r="C35" s="144">
        <f>7781.25+7415.63</f>
        <v>15196.880000000001</v>
      </c>
      <c r="D35" s="145">
        <v>0</v>
      </c>
      <c r="E35" s="146">
        <f t="shared" si="0"/>
        <v>54196.880000000005</v>
      </c>
      <c r="F35" s="147">
        <v>0</v>
      </c>
      <c r="G35" s="144">
        <v>0</v>
      </c>
      <c r="H35" s="144">
        <v>0</v>
      </c>
      <c r="I35" s="146">
        <f t="shared" si="1"/>
        <v>0</v>
      </c>
      <c r="J35" s="148">
        <f t="shared" si="2"/>
        <v>39000</v>
      </c>
      <c r="K35" s="149">
        <f t="shared" si="2"/>
        <v>15196.880000000001</v>
      </c>
      <c r="L35" s="149">
        <f t="shared" si="2"/>
        <v>0</v>
      </c>
      <c r="M35" s="150">
        <f t="shared" si="3"/>
        <v>54196.880000000005</v>
      </c>
      <c r="O35" s="151"/>
    </row>
    <row r="36" spans="1:15" ht="15" x14ac:dyDescent="0.4">
      <c r="A36" s="126">
        <v>2044</v>
      </c>
      <c r="B36" s="144">
        <v>40000</v>
      </c>
      <c r="C36" s="144">
        <f>7415.63+7040.63</f>
        <v>14456.26</v>
      </c>
      <c r="D36" s="145">
        <v>0</v>
      </c>
      <c r="E36" s="146">
        <f t="shared" si="0"/>
        <v>54456.26</v>
      </c>
      <c r="F36" s="147">
        <v>0</v>
      </c>
      <c r="G36" s="144">
        <v>0</v>
      </c>
      <c r="H36" s="144">
        <v>0</v>
      </c>
      <c r="I36" s="146">
        <f t="shared" si="1"/>
        <v>0</v>
      </c>
      <c r="J36" s="148">
        <f t="shared" si="2"/>
        <v>40000</v>
      </c>
      <c r="K36" s="149">
        <f t="shared" si="2"/>
        <v>14456.26</v>
      </c>
      <c r="L36" s="149">
        <f t="shared" si="2"/>
        <v>0</v>
      </c>
      <c r="M36" s="150">
        <f t="shared" si="3"/>
        <v>54456.26</v>
      </c>
      <c r="O36" s="151"/>
    </row>
    <row r="37" spans="1:15" ht="15" x14ac:dyDescent="0.4">
      <c r="A37" s="126">
        <v>2045</v>
      </c>
      <c r="B37" s="144">
        <v>40500</v>
      </c>
      <c r="C37" s="144">
        <f>7040.63+6660.94</f>
        <v>13701.57</v>
      </c>
      <c r="D37" s="145">
        <v>0</v>
      </c>
      <c r="E37" s="146">
        <f t="shared" si="0"/>
        <v>54201.57</v>
      </c>
      <c r="F37" s="147">
        <v>0</v>
      </c>
      <c r="G37" s="144">
        <v>0</v>
      </c>
      <c r="H37" s="144">
        <v>0</v>
      </c>
      <c r="I37" s="146">
        <f t="shared" si="1"/>
        <v>0</v>
      </c>
      <c r="J37" s="148">
        <f t="shared" si="2"/>
        <v>40500</v>
      </c>
      <c r="K37" s="149">
        <f t="shared" si="2"/>
        <v>13701.57</v>
      </c>
      <c r="L37" s="149">
        <f t="shared" si="2"/>
        <v>0</v>
      </c>
      <c r="M37" s="150">
        <f t="shared" si="3"/>
        <v>54201.57</v>
      </c>
      <c r="O37" s="151"/>
    </row>
    <row r="38" spans="1:15" ht="15" x14ac:dyDescent="0.4">
      <c r="A38" s="126">
        <v>2046</v>
      </c>
      <c r="B38" s="144">
        <v>41500</v>
      </c>
      <c r="C38" s="144">
        <f>6660.94+6271.88</f>
        <v>12932.82</v>
      </c>
      <c r="D38" s="145">
        <v>0</v>
      </c>
      <c r="E38" s="146">
        <f t="shared" si="0"/>
        <v>54432.82</v>
      </c>
      <c r="F38" s="147">
        <v>0</v>
      </c>
      <c r="G38" s="144">
        <v>0</v>
      </c>
      <c r="H38" s="144">
        <v>0</v>
      </c>
      <c r="I38" s="146">
        <f t="shared" si="1"/>
        <v>0</v>
      </c>
      <c r="J38" s="148">
        <f t="shared" si="2"/>
        <v>41500</v>
      </c>
      <c r="K38" s="149">
        <f t="shared" si="2"/>
        <v>12932.82</v>
      </c>
      <c r="L38" s="149">
        <f t="shared" si="2"/>
        <v>0</v>
      </c>
      <c r="M38" s="150">
        <f t="shared" si="3"/>
        <v>54432.82</v>
      </c>
      <c r="O38" s="151"/>
    </row>
    <row r="39" spans="1:15" ht="15" x14ac:dyDescent="0.4">
      <c r="A39" s="126">
        <v>2047</v>
      </c>
      <c r="B39" s="144">
        <v>42000</v>
      </c>
      <c r="C39" s="144">
        <f>6271.88+5878.13</f>
        <v>12150.01</v>
      </c>
      <c r="D39" s="145">
        <v>0</v>
      </c>
      <c r="E39" s="146">
        <f t="shared" si="0"/>
        <v>54150.01</v>
      </c>
      <c r="F39" s="147">
        <v>0</v>
      </c>
      <c r="G39" s="144">
        <v>0</v>
      </c>
      <c r="H39" s="144">
        <v>0</v>
      </c>
      <c r="I39" s="146">
        <f t="shared" si="1"/>
        <v>0</v>
      </c>
      <c r="J39" s="148">
        <f t="shared" si="2"/>
        <v>42000</v>
      </c>
      <c r="K39" s="149">
        <f t="shared" si="2"/>
        <v>12150.01</v>
      </c>
      <c r="L39" s="149">
        <f t="shared" si="2"/>
        <v>0</v>
      </c>
      <c r="M39" s="150">
        <f t="shared" si="3"/>
        <v>54150.01</v>
      </c>
      <c r="O39" s="151"/>
    </row>
    <row r="40" spans="1:15" ht="15" x14ac:dyDescent="0.4">
      <c r="A40" s="126">
        <v>2048</v>
      </c>
      <c r="B40" s="144">
        <v>43000</v>
      </c>
      <c r="C40" s="144">
        <f>5878.13+5475</f>
        <v>11353.130000000001</v>
      </c>
      <c r="D40" s="145">
        <v>0</v>
      </c>
      <c r="E40" s="146">
        <f t="shared" si="0"/>
        <v>54353.130000000005</v>
      </c>
      <c r="F40" s="147">
        <v>0</v>
      </c>
      <c r="G40" s="144">
        <v>0</v>
      </c>
      <c r="H40" s="144">
        <v>0</v>
      </c>
      <c r="I40" s="146">
        <f t="shared" si="1"/>
        <v>0</v>
      </c>
      <c r="J40" s="148">
        <f t="shared" si="2"/>
        <v>43000</v>
      </c>
      <c r="K40" s="149">
        <f t="shared" si="2"/>
        <v>11353.130000000001</v>
      </c>
      <c r="L40" s="149">
        <f t="shared" si="2"/>
        <v>0</v>
      </c>
      <c r="M40" s="150">
        <f t="shared" si="3"/>
        <v>54353.130000000005</v>
      </c>
      <c r="O40" s="151"/>
    </row>
    <row r="41" spans="1:15" ht="15" x14ac:dyDescent="0.4">
      <c r="A41" s="126">
        <v>2049</v>
      </c>
      <c r="B41" s="144">
        <v>43500</v>
      </c>
      <c r="C41" s="144">
        <f>5475+5067.19</f>
        <v>10542.189999999999</v>
      </c>
      <c r="D41" s="145">
        <v>0</v>
      </c>
      <c r="E41" s="146">
        <f t="shared" si="0"/>
        <v>54042.19</v>
      </c>
      <c r="F41" s="147">
        <v>0</v>
      </c>
      <c r="G41" s="144">
        <v>0</v>
      </c>
      <c r="H41" s="144">
        <v>0</v>
      </c>
      <c r="I41" s="146">
        <f t="shared" si="1"/>
        <v>0</v>
      </c>
      <c r="J41" s="148">
        <f t="shared" si="2"/>
        <v>43500</v>
      </c>
      <c r="K41" s="149">
        <f t="shared" si="2"/>
        <v>10542.189999999999</v>
      </c>
      <c r="L41" s="149">
        <f t="shared" si="2"/>
        <v>0</v>
      </c>
      <c r="M41" s="150">
        <f t="shared" si="3"/>
        <v>54042.19</v>
      </c>
      <c r="O41" s="151"/>
    </row>
    <row r="42" spans="1:15" ht="15" x14ac:dyDescent="0.4">
      <c r="A42" s="126">
        <v>2050</v>
      </c>
      <c r="B42" s="144">
        <v>44500</v>
      </c>
      <c r="C42" s="144">
        <f>5067.19+4650</f>
        <v>9717.1899999999987</v>
      </c>
      <c r="D42" s="145">
        <v>0</v>
      </c>
      <c r="E42" s="146">
        <f t="shared" si="0"/>
        <v>54217.19</v>
      </c>
      <c r="F42" s="147">
        <v>0</v>
      </c>
      <c r="G42" s="144">
        <v>0</v>
      </c>
      <c r="H42" s="144">
        <v>0</v>
      </c>
      <c r="I42" s="146">
        <f t="shared" si="1"/>
        <v>0</v>
      </c>
      <c r="J42" s="148">
        <f t="shared" si="2"/>
        <v>44500</v>
      </c>
      <c r="K42" s="149">
        <f t="shared" si="2"/>
        <v>9717.1899999999987</v>
      </c>
      <c r="L42" s="149">
        <f t="shared" si="2"/>
        <v>0</v>
      </c>
      <c r="M42" s="150">
        <f t="shared" si="3"/>
        <v>54217.19</v>
      </c>
      <c r="O42" s="151"/>
    </row>
    <row r="43" spans="1:15" ht="15" x14ac:dyDescent="0.4">
      <c r="A43" s="126">
        <v>2051</v>
      </c>
      <c r="B43" s="144">
        <v>45500</v>
      </c>
      <c r="C43" s="144">
        <f>4650+4223.44</f>
        <v>8873.4399999999987</v>
      </c>
      <c r="D43" s="145">
        <v>0</v>
      </c>
      <c r="E43" s="146">
        <f t="shared" si="0"/>
        <v>54373.440000000002</v>
      </c>
      <c r="F43" s="147">
        <v>0</v>
      </c>
      <c r="G43" s="144">
        <v>0</v>
      </c>
      <c r="H43" s="144">
        <v>0</v>
      </c>
      <c r="I43" s="146">
        <f t="shared" si="1"/>
        <v>0</v>
      </c>
      <c r="J43" s="148">
        <f t="shared" si="2"/>
        <v>45500</v>
      </c>
      <c r="K43" s="149">
        <f t="shared" si="2"/>
        <v>8873.4399999999987</v>
      </c>
      <c r="L43" s="149">
        <f t="shared" si="2"/>
        <v>0</v>
      </c>
      <c r="M43" s="150">
        <f t="shared" si="3"/>
        <v>54373.440000000002</v>
      </c>
      <c r="O43" s="151"/>
    </row>
    <row r="44" spans="1:15" ht="15" x14ac:dyDescent="0.4">
      <c r="A44" s="126">
        <v>2052</v>
      </c>
      <c r="B44" s="144">
        <v>46000</v>
      </c>
      <c r="C44" s="144">
        <f>4223.44+3792.19</f>
        <v>8015.6299999999992</v>
      </c>
      <c r="D44" s="145">
        <v>0</v>
      </c>
      <c r="E44" s="146">
        <f t="shared" si="0"/>
        <v>54015.63</v>
      </c>
      <c r="F44" s="147">
        <v>0</v>
      </c>
      <c r="G44" s="144">
        <v>0</v>
      </c>
      <c r="H44" s="144">
        <v>0</v>
      </c>
      <c r="I44" s="146">
        <f t="shared" si="1"/>
        <v>0</v>
      </c>
      <c r="J44" s="148">
        <f t="shared" si="2"/>
        <v>46000</v>
      </c>
      <c r="K44" s="149">
        <f t="shared" si="2"/>
        <v>8015.6299999999992</v>
      </c>
      <c r="L44" s="149">
        <f t="shared" si="2"/>
        <v>0</v>
      </c>
      <c r="M44" s="150">
        <f t="shared" si="3"/>
        <v>54015.63</v>
      </c>
      <c r="O44" s="151"/>
    </row>
    <row r="45" spans="1:15" ht="15" x14ac:dyDescent="0.4">
      <c r="A45" s="126">
        <v>2053</v>
      </c>
      <c r="B45" s="144">
        <v>47000</v>
      </c>
      <c r="C45" s="144">
        <f>3792.19+3351.56</f>
        <v>7143.75</v>
      </c>
      <c r="D45" s="145">
        <v>0</v>
      </c>
      <c r="E45" s="146">
        <f t="shared" si="0"/>
        <v>54143.75</v>
      </c>
      <c r="F45" s="147">
        <v>0</v>
      </c>
      <c r="G45" s="144">
        <v>0</v>
      </c>
      <c r="H45" s="144">
        <v>0</v>
      </c>
      <c r="I45" s="146">
        <f t="shared" si="1"/>
        <v>0</v>
      </c>
      <c r="J45" s="148">
        <f t="shared" si="2"/>
        <v>47000</v>
      </c>
      <c r="K45" s="149">
        <f t="shared" si="2"/>
        <v>7143.75</v>
      </c>
      <c r="L45" s="149">
        <f t="shared" si="2"/>
        <v>0</v>
      </c>
      <c r="M45" s="150">
        <f t="shared" si="3"/>
        <v>54143.75</v>
      </c>
      <c r="O45" s="151"/>
    </row>
    <row r="46" spans="1:15" ht="15" x14ac:dyDescent="0.4">
      <c r="A46" s="126">
        <v>2054</v>
      </c>
      <c r="B46" s="144">
        <v>48000</v>
      </c>
      <c r="C46" s="144">
        <f>3351.56+2901.53</f>
        <v>6253.09</v>
      </c>
      <c r="D46" s="145">
        <v>0</v>
      </c>
      <c r="E46" s="146">
        <f t="shared" si="0"/>
        <v>54253.09</v>
      </c>
      <c r="F46" s="147">
        <v>0</v>
      </c>
      <c r="G46" s="144">
        <v>0</v>
      </c>
      <c r="H46" s="144">
        <v>0</v>
      </c>
      <c r="I46" s="146">
        <f t="shared" si="1"/>
        <v>0</v>
      </c>
      <c r="J46" s="148">
        <f t="shared" si="2"/>
        <v>48000</v>
      </c>
      <c r="K46" s="149">
        <f t="shared" si="2"/>
        <v>6253.09</v>
      </c>
      <c r="L46" s="149">
        <f t="shared" si="2"/>
        <v>0</v>
      </c>
      <c r="M46" s="150">
        <f t="shared" si="3"/>
        <v>54253.09</v>
      </c>
      <c r="O46" s="151"/>
    </row>
    <row r="47" spans="1:15" ht="15" x14ac:dyDescent="0.4">
      <c r="A47" s="126">
        <v>2055</v>
      </c>
      <c r="B47" s="144">
        <v>49000</v>
      </c>
      <c r="C47" s="144">
        <f>2901.56+2442.19</f>
        <v>5343.75</v>
      </c>
      <c r="D47" s="145">
        <v>0</v>
      </c>
      <c r="E47" s="146">
        <f t="shared" si="0"/>
        <v>54343.75</v>
      </c>
      <c r="F47" s="147">
        <v>0</v>
      </c>
      <c r="G47" s="144">
        <v>0</v>
      </c>
      <c r="H47" s="144">
        <v>0</v>
      </c>
      <c r="I47" s="146">
        <f t="shared" si="1"/>
        <v>0</v>
      </c>
      <c r="J47" s="148">
        <f t="shared" si="2"/>
        <v>49000</v>
      </c>
      <c r="K47" s="149">
        <f t="shared" si="2"/>
        <v>5343.75</v>
      </c>
      <c r="L47" s="149">
        <f t="shared" si="2"/>
        <v>0</v>
      </c>
      <c r="M47" s="150">
        <f t="shared" si="3"/>
        <v>54343.75</v>
      </c>
      <c r="O47" s="151"/>
    </row>
    <row r="48" spans="1:15" ht="15" x14ac:dyDescent="0.4">
      <c r="A48" s="126">
        <v>2056</v>
      </c>
      <c r="B48" s="144">
        <v>50000</v>
      </c>
      <c r="C48" s="144">
        <f>2442.19+1973.44</f>
        <v>4415.63</v>
      </c>
      <c r="D48" s="145">
        <v>0</v>
      </c>
      <c r="E48" s="146">
        <f t="shared" si="0"/>
        <v>54415.63</v>
      </c>
      <c r="F48" s="147">
        <v>0</v>
      </c>
      <c r="G48" s="144">
        <v>0</v>
      </c>
      <c r="H48" s="144">
        <v>0</v>
      </c>
      <c r="I48" s="146">
        <f t="shared" si="1"/>
        <v>0</v>
      </c>
      <c r="J48" s="148">
        <f t="shared" si="2"/>
        <v>50000</v>
      </c>
      <c r="K48" s="149">
        <f t="shared" si="2"/>
        <v>4415.63</v>
      </c>
      <c r="L48" s="149">
        <f t="shared" si="2"/>
        <v>0</v>
      </c>
      <c r="M48" s="150">
        <f t="shared" si="3"/>
        <v>54415.63</v>
      </c>
      <c r="O48" s="151"/>
    </row>
    <row r="49" spans="1:15" ht="15" x14ac:dyDescent="0.4">
      <c r="A49" s="126">
        <v>2057</v>
      </c>
      <c r="B49" s="144">
        <v>50500</v>
      </c>
      <c r="C49" s="144">
        <f>1973.44+1500</f>
        <v>3473.44</v>
      </c>
      <c r="D49" s="145">
        <v>0</v>
      </c>
      <c r="E49" s="146">
        <f t="shared" si="0"/>
        <v>53973.440000000002</v>
      </c>
      <c r="F49" s="147">
        <v>0</v>
      </c>
      <c r="G49" s="144">
        <v>0</v>
      </c>
      <c r="H49" s="144">
        <v>0</v>
      </c>
      <c r="I49" s="146">
        <f t="shared" si="1"/>
        <v>0</v>
      </c>
      <c r="J49" s="148">
        <f t="shared" si="2"/>
        <v>50500</v>
      </c>
      <c r="K49" s="149">
        <f t="shared" si="2"/>
        <v>3473.44</v>
      </c>
      <c r="L49" s="149">
        <f t="shared" si="2"/>
        <v>0</v>
      </c>
      <c r="M49" s="150">
        <f t="shared" si="3"/>
        <v>53973.440000000002</v>
      </c>
      <c r="O49" s="151"/>
    </row>
    <row r="50" spans="1:15" ht="15" x14ac:dyDescent="0.4">
      <c r="A50" s="126">
        <v>2058</v>
      </c>
      <c r="B50" s="144">
        <v>51500</v>
      </c>
      <c r="C50" s="144">
        <f>1500+1017.19</f>
        <v>2517.19</v>
      </c>
      <c r="D50" s="145">
        <v>0</v>
      </c>
      <c r="E50" s="146">
        <f t="shared" si="0"/>
        <v>54017.19</v>
      </c>
      <c r="F50" s="147">
        <v>0</v>
      </c>
      <c r="G50" s="144">
        <v>0</v>
      </c>
      <c r="H50" s="144">
        <v>0</v>
      </c>
      <c r="I50" s="146">
        <f t="shared" si="1"/>
        <v>0</v>
      </c>
      <c r="J50" s="148">
        <f t="shared" si="2"/>
        <v>51500</v>
      </c>
      <c r="K50" s="149">
        <f t="shared" si="2"/>
        <v>2517.19</v>
      </c>
      <c r="L50" s="149">
        <f t="shared" si="2"/>
        <v>0</v>
      </c>
      <c r="M50" s="150">
        <f t="shared" si="3"/>
        <v>54017.19</v>
      </c>
      <c r="O50" s="151"/>
    </row>
    <row r="51" spans="1:15" ht="15" x14ac:dyDescent="0.4">
      <c r="A51" s="126">
        <v>2059</v>
      </c>
      <c r="B51" s="144">
        <v>52500</v>
      </c>
      <c r="C51" s="144">
        <f>1017.19+525</f>
        <v>1542.19</v>
      </c>
      <c r="D51" s="145">
        <v>0</v>
      </c>
      <c r="E51" s="146">
        <f t="shared" si="0"/>
        <v>54042.19</v>
      </c>
      <c r="F51" s="147">
        <v>0</v>
      </c>
      <c r="G51" s="144">
        <v>0</v>
      </c>
      <c r="H51" s="144">
        <v>0</v>
      </c>
      <c r="I51" s="146">
        <f t="shared" si="1"/>
        <v>0</v>
      </c>
      <c r="J51" s="148">
        <f t="shared" si="2"/>
        <v>52500</v>
      </c>
      <c r="K51" s="149">
        <f t="shared" si="2"/>
        <v>1542.19</v>
      </c>
      <c r="L51" s="149">
        <f t="shared" si="2"/>
        <v>0</v>
      </c>
      <c r="M51" s="150">
        <f t="shared" si="3"/>
        <v>54042.19</v>
      </c>
      <c r="O51" s="151"/>
    </row>
    <row r="52" spans="1:15" ht="15" x14ac:dyDescent="0.4">
      <c r="A52" s="126">
        <v>2060</v>
      </c>
      <c r="B52" s="144">
        <v>56000</v>
      </c>
      <c r="C52" s="144">
        <v>525</v>
      </c>
      <c r="D52" s="145">
        <v>0</v>
      </c>
      <c r="E52" s="146">
        <f t="shared" si="0"/>
        <v>56525</v>
      </c>
      <c r="F52" s="147">
        <v>0</v>
      </c>
      <c r="G52" s="144">
        <v>0</v>
      </c>
      <c r="H52" s="144">
        <v>0</v>
      </c>
      <c r="I52" s="146">
        <f t="shared" si="1"/>
        <v>0</v>
      </c>
      <c r="J52" s="148">
        <f t="shared" si="2"/>
        <v>56000</v>
      </c>
      <c r="K52" s="149">
        <f t="shared" si="2"/>
        <v>525</v>
      </c>
      <c r="L52" s="149">
        <f t="shared" si="2"/>
        <v>0</v>
      </c>
      <c r="M52" s="150">
        <f t="shared" si="3"/>
        <v>56525</v>
      </c>
      <c r="O52" s="151"/>
    </row>
    <row r="53" spans="1:15" ht="13.15" x14ac:dyDescent="0.4">
      <c r="A53" s="126"/>
      <c r="B53" s="152"/>
      <c r="C53" s="152"/>
      <c r="D53" s="152"/>
      <c r="E53" s="153"/>
      <c r="F53" s="154"/>
      <c r="G53" s="155"/>
      <c r="H53" s="155"/>
      <c r="I53" s="153"/>
      <c r="J53" s="141"/>
      <c r="K53" s="142"/>
      <c r="L53" s="142"/>
      <c r="M53" s="156"/>
    </row>
    <row r="54" spans="1:15" ht="13.15" x14ac:dyDescent="0.4">
      <c r="A54" s="127" t="s">
        <v>0</v>
      </c>
      <c r="B54" s="157">
        <f>SUM(B13:B53)</f>
        <v>1503500</v>
      </c>
      <c r="C54" s="157">
        <f t="shared" ref="C54:M54" si="5">SUM(C14:C53)</f>
        <v>616157.89999999967</v>
      </c>
      <c r="D54" s="157">
        <f t="shared" si="5"/>
        <v>0</v>
      </c>
      <c r="E54" s="158">
        <f t="shared" si="5"/>
        <v>2119657.8999999994</v>
      </c>
      <c r="F54" s="159">
        <f t="shared" si="5"/>
        <v>1495000</v>
      </c>
      <c r="G54" s="157">
        <f t="shared" si="5"/>
        <v>311464.27</v>
      </c>
      <c r="H54" s="157">
        <f t="shared" si="5"/>
        <v>5850</v>
      </c>
      <c r="I54" s="158">
        <f t="shared" si="5"/>
        <v>1812314.27</v>
      </c>
      <c r="J54" s="160">
        <f t="shared" si="5"/>
        <v>2998500</v>
      </c>
      <c r="K54" s="161">
        <f t="shared" si="5"/>
        <v>927622.16999999911</v>
      </c>
      <c r="L54" s="161">
        <f t="shared" si="5"/>
        <v>5850</v>
      </c>
      <c r="M54" s="162">
        <f t="shared" si="5"/>
        <v>3931972.1699999976</v>
      </c>
      <c r="O54" s="151"/>
    </row>
    <row r="55" spans="1:15" x14ac:dyDescent="0.35">
      <c r="J55" s="163">
        <f>+J54-B54-F54</f>
        <v>0</v>
      </c>
      <c r="K55" s="163">
        <f>+K54-C54-G54</f>
        <v>-5.8207660913467407E-10</v>
      </c>
      <c r="L55" s="163">
        <f>+L54-D54-H54</f>
        <v>0</v>
      </c>
      <c r="M55" s="163">
        <f>+M54-E54-I54</f>
        <v>-1.862645149230957E-9</v>
      </c>
    </row>
    <row r="56" spans="1:15" x14ac:dyDescent="0.35">
      <c r="B56" s="164"/>
      <c r="C56" s="165"/>
    </row>
    <row r="57" spans="1:15" x14ac:dyDescent="0.35">
      <c r="B57" s="164"/>
      <c r="C57" s="165"/>
      <c r="E57" s="163"/>
    </row>
    <row r="58" spans="1:15" x14ac:dyDescent="0.35">
      <c r="B58" s="164"/>
      <c r="C58" s="165"/>
    </row>
    <row r="59" spans="1:15" x14ac:dyDescent="0.35">
      <c r="B59" s="164"/>
      <c r="C59" s="165"/>
    </row>
    <row r="60" spans="1:15" x14ac:dyDescent="0.35">
      <c r="F60" s="166"/>
    </row>
    <row r="61" spans="1:15" x14ac:dyDescent="0.35">
      <c r="F61" s="166"/>
    </row>
    <row r="62" spans="1:15" x14ac:dyDescent="0.35">
      <c r="E62" s="163"/>
      <c r="F62" s="166"/>
    </row>
    <row r="63" spans="1:15" x14ac:dyDescent="0.35">
      <c r="F63" s="166"/>
    </row>
    <row r="64" spans="1:15" x14ac:dyDescent="0.35">
      <c r="F64" s="166"/>
    </row>
    <row r="65" spans="2:6" x14ac:dyDescent="0.35">
      <c r="F65" s="166"/>
    </row>
    <row r="66" spans="2:6" x14ac:dyDescent="0.35">
      <c r="F66" s="166"/>
    </row>
    <row r="67" spans="2:6" x14ac:dyDescent="0.35">
      <c r="F67" s="166"/>
    </row>
    <row r="68" spans="2:6" x14ac:dyDescent="0.35">
      <c r="F68" s="166"/>
    </row>
    <row r="69" spans="2:6" x14ac:dyDescent="0.35">
      <c r="F69" s="166"/>
    </row>
    <row r="70" spans="2:6" x14ac:dyDescent="0.35">
      <c r="F70" s="166"/>
    </row>
    <row r="72" spans="2:6" x14ac:dyDescent="0.35">
      <c r="B72" s="167"/>
      <c r="C72" s="167"/>
      <c r="D72" s="167"/>
    </row>
    <row r="74" spans="2:6" x14ac:dyDescent="0.35">
      <c r="B74" s="167"/>
      <c r="C74" s="167"/>
      <c r="D74" s="167"/>
      <c r="E74" s="168"/>
    </row>
    <row r="76" spans="2:6" x14ac:dyDescent="0.35">
      <c r="C76" s="167"/>
      <c r="D76" s="167"/>
    </row>
  </sheetData>
  <mergeCells count="21">
    <mergeCell ref="B5:E5"/>
    <mergeCell ref="F5:I5"/>
    <mergeCell ref="J5:M5"/>
    <mergeCell ref="B6:E6"/>
    <mergeCell ref="F6:I6"/>
    <mergeCell ref="J6:M6"/>
    <mergeCell ref="B7:E7"/>
    <mergeCell ref="F7:I7"/>
    <mergeCell ref="J7:M7"/>
    <mergeCell ref="B8:E8"/>
    <mergeCell ref="F8:I8"/>
    <mergeCell ref="J8:M8"/>
    <mergeCell ref="B11:E11"/>
    <mergeCell ref="F11:I11"/>
    <mergeCell ref="J11:M11"/>
    <mergeCell ref="B9:E9"/>
    <mergeCell ref="F9:I9"/>
    <mergeCell ref="J9:M9"/>
    <mergeCell ref="B10:E10"/>
    <mergeCell ref="F10:I10"/>
    <mergeCell ref="J10:M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0380A-58A8-40B9-9C3C-939234618911}">
  <dimension ref="C1:H78"/>
  <sheetViews>
    <sheetView topLeftCell="B1" workbookViewId="0">
      <selection activeCell="J23" sqref="J23"/>
    </sheetView>
  </sheetViews>
  <sheetFormatPr defaultColWidth="14.77734375" defaultRowHeight="15" x14ac:dyDescent="0.4"/>
  <cols>
    <col min="1" max="2" width="14.77734375" style="40"/>
    <col min="3" max="3" width="1.77734375" style="40" customWidth="1"/>
    <col min="4" max="4" width="9.33203125" style="40" customWidth="1"/>
    <col min="5" max="5" width="11.21875" style="40" customWidth="1"/>
    <col min="6" max="6" width="14.77734375" style="40"/>
    <col min="7" max="7" width="12.21875" style="40" customWidth="1"/>
    <col min="8" max="8" width="10.5546875" style="40" customWidth="1"/>
    <col min="9" max="16384" width="14.77734375" style="40"/>
  </cols>
  <sheetData>
    <row r="1" spans="3:8" x14ac:dyDescent="0.4">
      <c r="G1" s="214"/>
    </row>
    <row r="2" spans="3:8" x14ac:dyDescent="0.4">
      <c r="C2" s="63"/>
      <c r="D2" s="215"/>
      <c r="E2" s="215"/>
      <c r="F2" s="215"/>
      <c r="G2" s="216"/>
      <c r="H2" s="217"/>
    </row>
    <row r="3" spans="3:8" x14ac:dyDescent="0.4">
      <c r="C3" s="64"/>
      <c r="D3" s="504" t="s">
        <v>102</v>
      </c>
      <c r="E3" s="504"/>
      <c r="F3" s="504"/>
      <c r="G3" s="504"/>
      <c r="H3" s="505"/>
    </row>
    <row r="4" spans="3:8" x14ac:dyDescent="0.4">
      <c r="C4" s="64"/>
      <c r="D4" s="506" t="s">
        <v>478</v>
      </c>
      <c r="E4" s="506"/>
      <c r="F4" s="506"/>
      <c r="G4" s="506"/>
      <c r="H4" s="507"/>
    </row>
    <row r="5" spans="3:8" x14ac:dyDescent="0.4">
      <c r="C5" s="64"/>
      <c r="G5" s="214"/>
      <c r="H5" s="220"/>
    </row>
    <row r="6" spans="3:8" x14ac:dyDescent="0.4">
      <c r="C6" s="63"/>
      <c r="D6" s="215"/>
      <c r="E6" s="215"/>
      <c r="F6" s="215"/>
      <c r="G6" s="216"/>
      <c r="H6" s="217"/>
    </row>
    <row r="7" spans="3:8" x14ac:dyDescent="0.4">
      <c r="C7" s="64"/>
      <c r="D7" s="40" t="s">
        <v>229</v>
      </c>
      <c r="E7" s="60"/>
      <c r="G7" s="219"/>
      <c r="H7" s="220"/>
    </row>
    <row r="8" spans="3:8" x14ac:dyDescent="0.4">
      <c r="C8" s="64"/>
      <c r="D8" s="40" t="s">
        <v>48</v>
      </c>
      <c r="E8" s="60">
        <v>2000</v>
      </c>
      <c r="F8" s="40" t="s">
        <v>125</v>
      </c>
      <c r="G8" s="221">
        <v>17.84</v>
      </c>
      <c r="H8" s="220" t="s">
        <v>145</v>
      </c>
    </row>
    <row r="9" spans="3:8" x14ac:dyDescent="0.4">
      <c r="C9" s="64"/>
      <c r="D9" s="40" t="s">
        <v>49</v>
      </c>
      <c r="E9" s="60">
        <v>8000</v>
      </c>
      <c r="F9" s="40" t="s">
        <v>125</v>
      </c>
      <c r="G9" s="222">
        <v>6.45E-3</v>
      </c>
      <c r="H9" s="220" t="s">
        <v>144</v>
      </c>
    </row>
    <row r="10" spans="3:8" x14ac:dyDescent="0.4">
      <c r="C10" s="64"/>
      <c r="D10" s="40" t="s">
        <v>49</v>
      </c>
      <c r="E10" s="60">
        <v>190000</v>
      </c>
      <c r="F10" s="40" t="s">
        <v>125</v>
      </c>
      <c r="G10" s="222">
        <v>5.7800000000000004E-3</v>
      </c>
      <c r="H10" s="220" t="s">
        <v>144</v>
      </c>
    </row>
    <row r="11" spans="3:8" x14ac:dyDescent="0.4">
      <c r="C11" s="64"/>
      <c r="D11" s="40" t="s">
        <v>49</v>
      </c>
      <c r="E11" s="60">
        <v>400000</v>
      </c>
      <c r="F11" s="40" t="s">
        <v>125</v>
      </c>
      <c r="G11" s="222">
        <v>5.4099999999999999E-3</v>
      </c>
      <c r="H11" s="220" t="s">
        <v>144</v>
      </c>
    </row>
    <row r="12" spans="3:8" x14ac:dyDescent="0.4">
      <c r="C12" s="64"/>
      <c r="D12" s="40" t="s">
        <v>76</v>
      </c>
      <c r="E12" s="60">
        <f>SUM(E8:E11)</f>
        <v>600000</v>
      </c>
      <c r="F12" s="40" t="s">
        <v>125</v>
      </c>
      <c r="G12" s="222">
        <v>4.0099999999999997E-3</v>
      </c>
      <c r="H12" s="220" t="s">
        <v>144</v>
      </c>
    </row>
    <row r="13" spans="3:8" x14ac:dyDescent="0.4">
      <c r="C13" s="64"/>
      <c r="E13" s="60"/>
      <c r="G13" s="222"/>
      <c r="H13" s="220"/>
    </row>
    <row r="14" spans="3:8" x14ac:dyDescent="0.4">
      <c r="C14" s="64"/>
      <c r="D14" s="40" t="s">
        <v>346</v>
      </c>
      <c r="E14" s="60"/>
      <c r="H14" s="220"/>
    </row>
    <row r="15" spans="3:8" x14ac:dyDescent="0.4">
      <c r="C15" s="64"/>
      <c r="D15" s="40" t="s">
        <v>48</v>
      </c>
      <c r="E15" s="60">
        <v>3000</v>
      </c>
      <c r="F15" s="40" t="s">
        <v>125</v>
      </c>
      <c r="G15" s="221">
        <v>24.85</v>
      </c>
      <c r="H15" s="220" t="s">
        <v>145</v>
      </c>
    </row>
    <row r="16" spans="3:8" x14ac:dyDescent="0.4">
      <c r="C16" s="224"/>
      <c r="D16" s="40" t="s">
        <v>49</v>
      </c>
      <c r="E16" s="60">
        <v>7000</v>
      </c>
      <c r="F16" s="40" t="s">
        <v>125</v>
      </c>
      <c r="G16" s="222">
        <f>G9</f>
        <v>6.45E-3</v>
      </c>
      <c r="H16" s="220" t="s">
        <v>144</v>
      </c>
    </row>
    <row r="17" spans="3:8" x14ac:dyDescent="0.4">
      <c r="C17" s="64"/>
      <c r="D17" s="40" t="s">
        <v>49</v>
      </c>
      <c r="E17" s="60">
        <v>190000</v>
      </c>
      <c r="F17" s="40" t="s">
        <v>125</v>
      </c>
      <c r="G17" s="222">
        <f t="shared" ref="G17:G19" si="0">G10</f>
        <v>5.7800000000000004E-3</v>
      </c>
      <c r="H17" s="220" t="s">
        <v>144</v>
      </c>
    </row>
    <row r="18" spans="3:8" x14ac:dyDescent="0.4">
      <c r="C18" s="64"/>
      <c r="D18" s="40" t="s">
        <v>49</v>
      </c>
      <c r="E18" s="60">
        <v>400000</v>
      </c>
      <c r="F18" s="40" t="s">
        <v>125</v>
      </c>
      <c r="G18" s="222">
        <f t="shared" si="0"/>
        <v>5.4099999999999999E-3</v>
      </c>
      <c r="H18" s="220" t="s">
        <v>144</v>
      </c>
    </row>
    <row r="19" spans="3:8" x14ac:dyDescent="0.4">
      <c r="C19" s="64"/>
      <c r="D19" s="40" t="s">
        <v>76</v>
      </c>
      <c r="E19" s="60">
        <f>SUM(E15:E18)</f>
        <v>600000</v>
      </c>
      <c r="F19" s="40" t="s">
        <v>125</v>
      </c>
      <c r="G19" s="222">
        <f t="shared" si="0"/>
        <v>4.0099999999999997E-3</v>
      </c>
      <c r="H19" s="220" t="s">
        <v>144</v>
      </c>
    </row>
    <row r="20" spans="3:8" x14ac:dyDescent="0.4">
      <c r="C20" s="64"/>
      <c r="E20" s="60"/>
      <c r="G20" s="222"/>
      <c r="H20" s="220"/>
    </row>
    <row r="21" spans="3:8" x14ac:dyDescent="0.4">
      <c r="C21" s="64"/>
      <c r="D21" s="40" t="s">
        <v>230</v>
      </c>
      <c r="E21" s="60"/>
      <c r="H21" s="220"/>
    </row>
    <row r="22" spans="3:8" x14ac:dyDescent="0.4">
      <c r="C22" s="64"/>
      <c r="D22" s="40" t="s">
        <v>48</v>
      </c>
      <c r="E22" s="60">
        <v>5000</v>
      </c>
      <c r="F22" s="40" t="s">
        <v>125</v>
      </c>
      <c r="G22" s="221">
        <v>38.29</v>
      </c>
      <c r="H22" s="220" t="s">
        <v>145</v>
      </c>
    </row>
    <row r="23" spans="3:8" x14ac:dyDescent="0.4">
      <c r="C23" s="64"/>
      <c r="D23" s="40" t="s">
        <v>49</v>
      </c>
      <c r="E23" s="60">
        <v>5000</v>
      </c>
      <c r="F23" s="40" t="s">
        <v>125</v>
      </c>
      <c r="G23" s="222">
        <f>G16</f>
        <v>6.45E-3</v>
      </c>
      <c r="H23" s="220" t="s">
        <v>144</v>
      </c>
    </row>
    <row r="24" spans="3:8" x14ac:dyDescent="0.4">
      <c r="C24" s="64"/>
      <c r="D24" s="40" t="s">
        <v>49</v>
      </c>
      <c r="E24" s="60">
        <v>190000</v>
      </c>
      <c r="F24" s="40" t="s">
        <v>125</v>
      </c>
      <c r="G24" s="222">
        <f t="shared" ref="G24:G26" si="1">G17</f>
        <v>5.7800000000000004E-3</v>
      </c>
      <c r="H24" s="220" t="s">
        <v>144</v>
      </c>
    </row>
    <row r="25" spans="3:8" x14ac:dyDescent="0.4">
      <c r="C25" s="64"/>
      <c r="D25" s="40" t="s">
        <v>49</v>
      </c>
      <c r="E25" s="60">
        <v>400000</v>
      </c>
      <c r="F25" s="40" t="s">
        <v>125</v>
      </c>
      <c r="G25" s="222">
        <f t="shared" si="1"/>
        <v>5.4099999999999999E-3</v>
      </c>
      <c r="H25" s="220" t="s">
        <v>144</v>
      </c>
    </row>
    <row r="26" spans="3:8" x14ac:dyDescent="0.4">
      <c r="C26" s="64"/>
      <c r="D26" s="40" t="s">
        <v>76</v>
      </c>
      <c r="E26" s="60">
        <f>SUM(E22:E25)</f>
        <v>600000</v>
      </c>
      <c r="F26" s="40" t="s">
        <v>125</v>
      </c>
      <c r="G26" s="222">
        <f t="shared" si="1"/>
        <v>4.0099999999999997E-3</v>
      </c>
      <c r="H26" s="220" t="s">
        <v>144</v>
      </c>
    </row>
    <row r="27" spans="3:8" x14ac:dyDescent="0.4">
      <c r="C27" s="64"/>
      <c r="E27" s="60"/>
      <c r="G27" s="222"/>
      <c r="H27" s="220"/>
    </row>
    <row r="28" spans="3:8" x14ac:dyDescent="0.4">
      <c r="C28" s="64"/>
      <c r="D28" s="40" t="s">
        <v>231</v>
      </c>
      <c r="E28" s="60"/>
      <c r="G28" s="222"/>
      <c r="H28" s="220"/>
    </row>
    <row r="29" spans="3:8" x14ac:dyDescent="0.4">
      <c r="C29" s="64"/>
      <c r="D29" s="40" t="s">
        <v>48</v>
      </c>
      <c r="E29" s="60">
        <v>10000</v>
      </c>
      <c r="F29" s="40" t="s">
        <v>125</v>
      </c>
      <c r="G29" s="221">
        <v>77.12</v>
      </c>
      <c r="H29" s="220" t="s">
        <v>145</v>
      </c>
    </row>
    <row r="30" spans="3:8" x14ac:dyDescent="0.4">
      <c r="C30" s="64"/>
      <c r="D30" s="40" t="s">
        <v>49</v>
      </c>
      <c r="E30" s="60">
        <v>190000</v>
      </c>
      <c r="F30" s="40" t="s">
        <v>125</v>
      </c>
      <c r="G30" s="222">
        <f>G24</f>
        <v>5.7800000000000004E-3</v>
      </c>
      <c r="H30" s="220" t="s">
        <v>144</v>
      </c>
    </row>
    <row r="31" spans="3:8" x14ac:dyDescent="0.4">
      <c r="C31" s="64"/>
      <c r="D31" s="40" t="s">
        <v>49</v>
      </c>
      <c r="E31" s="60">
        <v>400000</v>
      </c>
      <c r="F31" s="40" t="s">
        <v>125</v>
      </c>
      <c r="G31" s="222">
        <f t="shared" ref="G31:G32" si="2">G25</f>
        <v>5.4099999999999999E-3</v>
      </c>
      <c r="H31" s="220" t="s">
        <v>144</v>
      </c>
    </row>
    <row r="32" spans="3:8" x14ac:dyDescent="0.4">
      <c r="C32" s="64"/>
      <c r="D32" s="40" t="s">
        <v>76</v>
      </c>
      <c r="E32" s="60">
        <f>SUM(E28:E31)</f>
        <v>600000</v>
      </c>
      <c r="F32" s="40" t="s">
        <v>125</v>
      </c>
      <c r="G32" s="222">
        <f t="shared" si="2"/>
        <v>4.0099999999999997E-3</v>
      </c>
      <c r="H32" s="220" t="s">
        <v>144</v>
      </c>
    </row>
    <row r="33" spans="3:8" x14ac:dyDescent="0.4">
      <c r="C33" s="64"/>
      <c r="E33" s="60"/>
      <c r="G33" s="222"/>
      <c r="H33" s="220"/>
    </row>
    <row r="34" spans="3:8" x14ac:dyDescent="0.4">
      <c r="C34" s="64"/>
      <c r="D34" s="40" t="s">
        <v>232</v>
      </c>
      <c r="E34" s="60"/>
      <c r="H34" s="220"/>
    </row>
    <row r="35" spans="3:8" x14ac:dyDescent="0.4">
      <c r="C35" s="64"/>
      <c r="D35" s="40" t="s">
        <v>48</v>
      </c>
      <c r="E35" s="60">
        <v>16000</v>
      </c>
      <c r="F35" s="40" t="s">
        <v>125</v>
      </c>
      <c r="G35" s="221">
        <v>113.43</v>
      </c>
      <c r="H35" s="220" t="s">
        <v>145</v>
      </c>
    </row>
    <row r="36" spans="3:8" x14ac:dyDescent="0.4">
      <c r="C36" s="64"/>
      <c r="D36" s="40" t="s">
        <v>49</v>
      </c>
      <c r="E36" s="60">
        <v>184000</v>
      </c>
      <c r="F36" s="40" t="s">
        <v>125</v>
      </c>
      <c r="G36" s="222">
        <f>G30</f>
        <v>5.7800000000000004E-3</v>
      </c>
      <c r="H36" s="220" t="s">
        <v>144</v>
      </c>
    </row>
    <row r="37" spans="3:8" x14ac:dyDescent="0.4">
      <c r="C37" s="64"/>
      <c r="D37" s="40" t="s">
        <v>49</v>
      </c>
      <c r="E37" s="60">
        <v>400000</v>
      </c>
      <c r="F37" s="40" t="s">
        <v>125</v>
      </c>
      <c r="G37" s="222">
        <f t="shared" ref="G37:G38" si="3">G31</f>
        <v>5.4099999999999999E-3</v>
      </c>
      <c r="H37" s="220" t="s">
        <v>144</v>
      </c>
    </row>
    <row r="38" spans="3:8" x14ac:dyDescent="0.4">
      <c r="C38" s="64"/>
      <c r="D38" s="40" t="s">
        <v>76</v>
      </c>
      <c r="E38" s="60">
        <f>SUM(E34:E37)</f>
        <v>600000</v>
      </c>
      <c r="F38" s="40" t="s">
        <v>125</v>
      </c>
      <c r="G38" s="222">
        <f t="shared" si="3"/>
        <v>4.0099999999999997E-3</v>
      </c>
      <c r="H38" s="220" t="s">
        <v>144</v>
      </c>
    </row>
    <row r="39" spans="3:8" x14ac:dyDescent="0.4">
      <c r="C39" s="64"/>
      <c r="E39" s="60"/>
      <c r="G39" s="222"/>
      <c r="H39" s="220"/>
    </row>
    <row r="40" spans="3:8" x14ac:dyDescent="0.4">
      <c r="C40" s="64"/>
      <c r="D40" s="40" t="s">
        <v>233</v>
      </c>
      <c r="E40" s="60"/>
      <c r="H40" s="220"/>
    </row>
    <row r="41" spans="3:8" x14ac:dyDescent="0.4">
      <c r="C41" s="64"/>
      <c r="D41" s="40" t="s">
        <v>48</v>
      </c>
      <c r="E41" s="60">
        <v>30000</v>
      </c>
      <c r="F41" s="40" t="s">
        <v>125</v>
      </c>
      <c r="G41" s="221">
        <v>223.99</v>
      </c>
      <c r="H41" s="220" t="s">
        <v>145</v>
      </c>
    </row>
    <row r="42" spans="3:8" x14ac:dyDescent="0.4">
      <c r="C42" s="64"/>
      <c r="D42" s="40" t="s">
        <v>49</v>
      </c>
      <c r="E42" s="60">
        <v>170000</v>
      </c>
      <c r="F42" s="40" t="s">
        <v>125</v>
      </c>
      <c r="G42" s="222">
        <f>G36</f>
        <v>5.7800000000000004E-3</v>
      </c>
      <c r="H42" s="220" t="s">
        <v>144</v>
      </c>
    </row>
    <row r="43" spans="3:8" x14ac:dyDescent="0.4">
      <c r="C43" s="64"/>
      <c r="D43" s="40" t="s">
        <v>49</v>
      </c>
      <c r="E43" s="60">
        <v>400000</v>
      </c>
      <c r="F43" s="40" t="s">
        <v>125</v>
      </c>
      <c r="G43" s="222">
        <f t="shared" ref="G43:G44" si="4">G37</f>
        <v>5.4099999999999999E-3</v>
      </c>
      <c r="H43" s="220" t="s">
        <v>144</v>
      </c>
    </row>
    <row r="44" spans="3:8" x14ac:dyDescent="0.4">
      <c r="C44" s="64"/>
      <c r="D44" s="40" t="s">
        <v>76</v>
      </c>
      <c r="E44" s="60">
        <f>SUM(E40:E43)</f>
        <v>600000</v>
      </c>
      <c r="F44" s="40" t="s">
        <v>125</v>
      </c>
      <c r="G44" s="222">
        <f t="shared" si="4"/>
        <v>4.0099999999999997E-3</v>
      </c>
      <c r="H44" s="220" t="s">
        <v>144</v>
      </c>
    </row>
    <row r="45" spans="3:8" x14ac:dyDescent="0.4">
      <c r="C45" s="64"/>
      <c r="E45" s="60"/>
      <c r="G45" s="222"/>
      <c r="H45" s="220"/>
    </row>
    <row r="46" spans="3:8" x14ac:dyDescent="0.4">
      <c r="C46" s="64"/>
      <c r="D46" s="40" t="s">
        <v>234</v>
      </c>
      <c r="E46" s="60"/>
      <c r="H46" s="220"/>
    </row>
    <row r="47" spans="3:8" x14ac:dyDescent="0.4">
      <c r="C47" s="64"/>
      <c r="D47" s="40" t="s">
        <v>48</v>
      </c>
      <c r="E47" s="60">
        <v>50000</v>
      </c>
      <c r="F47" s="40" t="s">
        <v>125</v>
      </c>
      <c r="G47" s="221">
        <v>346.1</v>
      </c>
      <c r="H47" s="220" t="s">
        <v>145</v>
      </c>
    </row>
    <row r="48" spans="3:8" x14ac:dyDescent="0.4">
      <c r="C48" s="64"/>
      <c r="D48" s="40" t="s">
        <v>49</v>
      </c>
      <c r="E48" s="60">
        <v>150000</v>
      </c>
      <c r="F48" s="40" t="s">
        <v>125</v>
      </c>
      <c r="G48" s="222">
        <f>G42</f>
        <v>5.7800000000000004E-3</v>
      </c>
      <c r="H48" s="220" t="s">
        <v>144</v>
      </c>
    </row>
    <row r="49" spans="3:8" x14ac:dyDescent="0.4">
      <c r="C49" s="64"/>
      <c r="D49" s="40" t="s">
        <v>49</v>
      </c>
      <c r="E49" s="60">
        <v>400000</v>
      </c>
      <c r="F49" s="40" t="s">
        <v>125</v>
      </c>
      <c r="G49" s="222">
        <f t="shared" ref="G49:G50" si="5">G43</f>
        <v>5.4099999999999999E-3</v>
      </c>
      <c r="H49" s="220" t="s">
        <v>144</v>
      </c>
    </row>
    <row r="50" spans="3:8" x14ac:dyDescent="0.4">
      <c r="C50" s="64"/>
      <c r="D50" s="40" t="s">
        <v>76</v>
      </c>
      <c r="E50" s="60">
        <f>SUM(E46:E49)</f>
        <v>600000</v>
      </c>
      <c r="F50" s="40" t="s">
        <v>125</v>
      </c>
      <c r="G50" s="222">
        <f t="shared" si="5"/>
        <v>4.0099999999999997E-3</v>
      </c>
      <c r="H50" s="220" t="s">
        <v>144</v>
      </c>
    </row>
    <row r="51" spans="3:8" x14ac:dyDescent="0.4">
      <c r="C51" s="64"/>
      <c r="E51" s="60"/>
      <c r="G51" s="222"/>
      <c r="H51" s="220"/>
    </row>
    <row r="52" spans="3:8" x14ac:dyDescent="0.4">
      <c r="C52" s="64"/>
      <c r="D52" s="40" t="s">
        <v>235</v>
      </c>
      <c r="E52" s="60"/>
      <c r="H52" s="220"/>
    </row>
    <row r="53" spans="3:8" x14ac:dyDescent="0.4">
      <c r="C53" s="64"/>
      <c r="D53" s="40" t="s">
        <v>48</v>
      </c>
      <c r="E53" s="60">
        <v>100000</v>
      </c>
      <c r="F53" s="40" t="s">
        <v>125</v>
      </c>
      <c r="G53" s="221">
        <v>650.30999999999995</v>
      </c>
      <c r="H53" s="220" t="s">
        <v>145</v>
      </c>
    </row>
    <row r="54" spans="3:8" x14ac:dyDescent="0.4">
      <c r="C54" s="64"/>
      <c r="D54" s="40" t="s">
        <v>49</v>
      </c>
      <c r="E54" s="60">
        <v>100000</v>
      </c>
      <c r="F54" s="40" t="s">
        <v>125</v>
      </c>
      <c r="G54" s="222">
        <f>G48</f>
        <v>5.7800000000000004E-3</v>
      </c>
      <c r="H54" s="220" t="s">
        <v>144</v>
      </c>
    </row>
    <row r="55" spans="3:8" x14ac:dyDescent="0.4">
      <c r="C55" s="64"/>
      <c r="D55" s="40" t="s">
        <v>49</v>
      </c>
      <c r="E55" s="60">
        <v>400000</v>
      </c>
      <c r="F55" s="40" t="s">
        <v>125</v>
      </c>
      <c r="G55" s="222">
        <f t="shared" ref="G55:G56" si="6">G49</f>
        <v>5.4099999999999999E-3</v>
      </c>
      <c r="H55" s="220" t="s">
        <v>144</v>
      </c>
    </row>
    <row r="56" spans="3:8" x14ac:dyDescent="0.4">
      <c r="C56" s="64"/>
      <c r="D56" s="40" t="s">
        <v>76</v>
      </c>
      <c r="E56" s="60">
        <f>SUM(E52:E55)</f>
        <v>600000</v>
      </c>
      <c r="F56" s="40" t="s">
        <v>125</v>
      </c>
      <c r="G56" s="222">
        <f t="shared" si="6"/>
        <v>4.0099999999999997E-3</v>
      </c>
      <c r="H56" s="220" t="s">
        <v>144</v>
      </c>
    </row>
    <row r="57" spans="3:8" x14ac:dyDescent="0.4">
      <c r="C57" s="64"/>
      <c r="E57" s="60"/>
      <c r="G57" s="222"/>
      <c r="H57" s="220"/>
    </row>
    <row r="58" spans="3:8" x14ac:dyDescent="0.4">
      <c r="C58" s="64"/>
      <c r="D58" s="40" t="s">
        <v>236</v>
      </c>
      <c r="E58" s="60"/>
      <c r="H58" s="220"/>
    </row>
    <row r="59" spans="3:8" x14ac:dyDescent="0.4">
      <c r="C59" s="64"/>
      <c r="D59" s="40" t="s">
        <v>48</v>
      </c>
      <c r="E59" s="60">
        <v>160000</v>
      </c>
      <c r="F59" s="40" t="s">
        <v>125</v>
      </c>
      <c r="G59" s="221">
        <v>1018.89</v>
      </c>
      <c r="H59" s="220" t="s">
        <v>145</v>
      </c>
    </row>
    <row r="60" spans="3:8" x14ac:dyDescent="0.4">
      <c r="C60" s="64"/>
      <c r="D60" s="40" t="s">
        <v>49</v>
      </c>
      <c r="E60" s="60">
        <v>40000</v>
      </c>
      <c r="F60" s="40" t="s">
        <v>125</v>
      </c>
      <c r="G60" s="222">
        <f>G54</f>
        <v>5.7800000000000004E-3</v>
      </c>
      <c r="H60" s="220" t="s">
        <v>144</v>
      </c>
    </row>
    <row r="61" spans="3:8" x14ac:dyDescent="0.4">
      <c r="C61" s="64"/>
      <c r="D61" s="40" t="s">
        <v>49</v>
      </c>
      <c r="E61" s="60">
        <v>400000</v>
      </c>
      <c r="F61" s="40" t="s">
        <v>125</v>
      </c>
      <c r="G61" s="222">
        <f t="shared" ref="G61:G62" si="7">G55</f>
        <v>5.4099999999999999E-3</v>
      </c>
      <c r="H61" s="220" t="s">
        <v>144</v>
      </c>
    </row>
    <row r="62" spans="3:8" x14ac:dyDescent="0.4">
      <c r="C62" s="64"/>
      <c r="D62" s="40" t="s">
        <v>76</v>
      </c>
      <c r="E62" s="60">
        <f>SUM(E58:E61)</f>
        <v>600000</v>
      </c>
      <c r="F62" s="40" t="s">
        <v>125</v>
      </c>
      <c r="G62" s="222">
        <f t="shared" si="7"/>
        <v>4.0099999999999997E-3</v>
      </c>
      <c r="H62" s="220" t="s">
        <v>144</v>
      </c>
    </row>
    <row r="63" spans="3:8" x14ac:dyDescent="0.4">
      <c r="C63" s="64"/>
      <c r="E63" s="60"/>
      <c r="G63" s="222"/>
      <c r="H63" s="220"/>
    </row>
    <row r="64" spans="3:8" x14ac:dyDescent="0.4">
      <c r="C64" s="64"/>
      <c r="D64" s="40" t="s">
        <v>347</v>
      </c>
      <c r="E64" s="60"/>
      <c r="H64" s="220"/>
    </row>
    <row r="65" spans="3:8" x14ac:dyDescent="0.4">
      <c r="C65" s="64"/>
      <c r="D65" s="40" t="s">
        <v>48</v>
      </c>
      <c r="E65" s="60">
        <v>550000</v>
      </c>
      <c r="F65" s="40" t="s">
        <v>125</v>
      </c>
      <c r="G65" s="221">
        <v>3158.3</v>
      </c>
      <c r="H65" s="220" t="s">
        <v>145</v>
      </c>
    </row>
    <row r="66" spans="3:8" x14ac:dyDescent="0.4">
      <c r="C66" s="64"/>
      <c r="D66" s="40" t="s">
        <v>49</v>
      </c>
      <c r="E66" s="60">
        <v>50000</v>
      </c>
      <c r="F66" s="40" t="s">
        <v>125</v>
      </c>
      <c r="G66" s="222">
        <f>G61</f>
        <v>5.4099999999999999E-3</v>
      </c>
      <c r="H66" s="220" t="s">
        <v>144</v>
      </c>
    </row>
    <row r="67" spans="3:8" x14ac:dyDescent="0.4">
      <c r="C67" s="64"/>
      <c r="D67" s="40" t="s">
        <v>76</v>
      </c>
      <c r="E67" s="60">
        <f>SUM(E64:E66)</f>
        <v>600000</v>
      </c>
      <c r="F67" s="40" t="s">
        <v>125</v>
      </c>
      <c r="G67" s="222">
        <f>G62</f>
        <v>4.0099999999999997E-3</v>
      </c>
      <c r="H67" s="220" t="s">
        <v>144</v>
      </c>
    </row>
    <row r="68" spans="3:8" x14ac:dyDescent="0.4">
      <c r="C68" s="64"/>
      <c r="E68" s="60"/>
      <c r="G68" s="222"/>
      <c r="H68" s="220"/>
    </row>
    <row r="69" spans="3:8" x14ac:dyDescent="0.4">
      <c r="C69" s="64"/>
      <c r="D69" s="40" t="s">
        <v>348</v>
      </c>
      <c r="E69" s="60"/>
      <c r="G69" s="222"/>
      <c r="H69" s="220"/>
    </row>
    <row r="70" spans="3:8" x14ac:dyDescent="0.4">
      <c r="C70" s="64"/>
      <c r="D70" s="40" t="s">
        <v>468</v>
      </c>
      <c r="E70" s="60"/>
      <c r="G70" s="223">
        <v>10.37</v>
      </c>
      <c r="H70" s="220"/>
    </row>
    <row r="71" spans="3:8" x14ac:dyDescent="0.4">
      <c r="C71" s="64"/>
      <c r="D71" s="40" t="s">
        <v>469</v>
      </c>
      <c r="E71" s="60"/>
      <c r="G71" s="223">
        <v>17.46</v>
      </c>
      <c r="H71" s="220"/>
    </row>
    <row r="72" spans="3:8" x14ac:dyDescent="0.4">
      <c r="C72" s="64"/>
      <c r="D72" s="40" t="s">
        <v>470</v>
      </c>
      <c r="E72" s="60"/>
      <c r="G72" s="223">
        <v>27.03</v>
      </c>
      <c r="H72" s="220"/>
    </row>
    <row r="73" spans="3:8" x14ac:dyDescent="0.4">
      <c r="C73" s="64"/>
      <c r="D73" s="40" t="s">
        <v>471</v>
      </c>
      <c r="E73" s="60"/>
      <c r="G73" s="223">
        <v>67.86</v>
      </c>
      <c r="H73" s="220"/>
    </row>
    <row r="74" spans="3:8" x14ac:dyDescent="0.4">
      <c r="C74" s="64"/>
      <c r="D74" s="40" t="s">
        <v>244</v>
      </c>
      <c r="E74" s="60"/>
      <c r="G74" s="223">
        <v>142.96</v>
      </c>
      <c r="H74" s="220"/>
    </row>
    <row r="75" spans="3:8" x14ac:dyDescent="0.4">
      <c r="C75" s="64"/>
      <c r="D75" s="40" t="s">
        <v>245</v>
      </c>
      <c r="E75" s="60"/>
      <c r="G75" s="223">
        <v>355.58</v>
      </c>
      <c r="H75" s="220"/>
    </row>
    <row r="76" spans="3:8" x14ac:dyDescent="0.4">
      <c r="C76" s="64"/>
      <c r="D76" s="40" t="s">
        <v>467</v>
      </c>
      <c r="E76" s="60"/>
      <c r="G76" s="223">
        <v>713.09</v>
      </c>
      <c r="H76" s="220"/>
    </row>
    <row r="77" spans="3:8" x14ac:dyDescent="0.4">
      <c r="C77" s="64"/>
      <c r="D77" s="40" t="s">
        <v>472</v>
      </c>
      <c r="E77" s="60"/>
      <c r="G77" s="223">
        <v>1253.3599999999999</v>
      </c>
      <c r="H77" s="220"/>
    </row>
    <row r="78" spans="3:8" x14ac:dyDescent="0.4">
      <c r="C78" s="65"/>
      <c r="D78" s="193"/>
      <c r="E78" s="193"/>
      <c r="F78" s="193"/>
      <c r="G78" s="225"/>
      <c r="H78" s="218"/>
    </row>
  </sheetData>
  <mergeCells count="2">
    <mergeCell ref="D3:H3"/>
    <mergeCell ref="D4:H4"/>
  </mergeCells>
  <printOptions horizontalCentered="1"/>
  <pageMargins left="0.7" right="0.7" top="1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F92F0-2AA5-4349-8C20-FD5D1E48EF91}">
  <dimension ref="B1:M169"/>
  <sheetViews>
    <sheetView showGridLines="0" workbookViewId="0">
      <selection activeCell="E20" sqref="E20"/>
    </sheetView>
  </sheetViews>
  <sheetFormatPr defaultColWidth="14.77734375" defaultRowHeight="15" x14ac:dyDescent="0.4"/>
  <cols>
    <col min="1" max="1" width="5.5546875" customWidth="1"/>
    <col min="2" max="2" width="1.77734375" customWidth="1"/>
    <col min="5" max="12" width="14.77734375" style="59"/>
    <col min="13" max="13" width="1.77734375" customWidth="1"/>
  </cols>
  <sheetData>
    <row r="1" spans="2:13" x14ac:dyDescent="0.4">
      <c r="B1" s="95"/>
      <c r="C1" s="104"/>
      <c r="D1" s="104"/>
      <c r="E1" s="116"/>
      <c r="F1" s="116"/>
      <c r="G1" s="116"/>
      <c r="H1" s="116"/>
      <c r="I1" s="116"/>
      <c r="J1" s="116"/>
      <c r="K1" s="116"/>
      <c r="L1" s="116"/>
      <c r="M1" s="96"/>
    </row>
    <row r="2" spans="2:13" ht="18" x14ac:dyDescent="0.55000000000000004">
      <c r="B2" s="28"/>
      <c r="C2" s="508" t="s">
        <v>473</v>
      </c>
      <c r="D2" s="508"/>
      <c r="E2" s="508"/>
      <c r="F2" s="508"/>
      <c r="G2" s="508"/>
      <c r="H2" s="508"/>
      <c r="I2" s="508"/>
      <c r="J2" s="508"/>
      <c r="K2" s="508"/>
      <c r="L2" s="508"/>
      <c r="M2" s="91"/>
    </row>
    <row r="3" spans="2:13" ht="18" x14ac:dyDescent="0.4">
      <c r="B3" s="28"/>
      <c r="C3" s="509" t="s">
        <v>478</v>
      </c>
      <c r="D3" s="509"/>
      <c r="E3" s="509"/>
      <c r="F3" s="509"/>
      <c r="G3" s="509"/>
      <c r="H3" s="509"/>
      <c r="I3" s="509"/>
      <c r="J3" s="509"/>
      <c r="K3" s="509"/>
      <c r="L3" s="509"/>
      <c r="M3" s="91"/>
    </row>
    <row r="4" spans="2:13" x14ac:dyDescent="0.4">
      <c r="B4" s="28"/>
      <c r="M4" s="91"/>
    </row>
    <row r="5" spans="2:13" x14ac:dyDescent="0.4">
      <c r="B5" s="28"/>
      <c r="M5" s="91"/>
    </row>
    <row r="6" spans="2:13" x14ac:dyDescent="0.4">
      <c r="B6" s="28"/>
      <c r="M6" s="91"/>
    </row>
    <row r="7" spans="2:13" x14ac:dyDescent="0.4">
      <c r="B7" s="28"/>
      <c r="M7" s="91"/>
    </row>
    <row r="8" spans="2:13" x14ac:dyDescent="0.4">
      <c r="B8" s="28"/>
      <c r="G8" s="110" t="s">
        <v>125</v>
      </c>
      <c r="H8" s="110" t="s">
        <v>349</v>
      </c>
      <c r="M8" s="91"/>
    </row>
    <row r="9" spans="2:13" x14ac:dyDescent="0.4">
      <c r="B9" s="28"/>
      <c r="C9" t="s">
        <v>229</v>
      </c>
      <c r="G9" s="68">
        <f>G48</f>
        <v>187440901</v>
      </c>
      <c r="H9" s="59">
        <f>J48</f>
        <v>1469982.0099999998</v>
      </c>
      <c r="M9" s="91"/>
    </row>
    <row r="10" spans="2:13" x14ac:dyDescent="0.4">
      <c r="B10" s="28"/>
      <c r="C10" t="s">
        <v>230</v>
      </c>
      <c r="G10" s="68">
        <f>G64</f>
        <v>24289127</v>
      </c>
      <c r="H10" s="59">
        <f>J64</f>
        <v>165402.72</v>
      </c>
      <c r="M10" s="91"/>
    </row>
    <row r="11" spans="2:13" x14ac:dyDescent="0.4">
      <c r="B11" s="28"/>
      <c r="C11" t="s">
        <v>231</v>
      </c>
      <c r="G11" s="68">
        <f>G78</f>
        <v>9350599</v>
      </c>
      <c r="H11" s="59">
        <f>J78</f>
        <v>58033.2</v>
      </c>
      <c r="M11" s="91"/>
    </row>
    <row r="12" spans="2:13" x14ac:dyDescent="0.4">
      <c r="B12" s="28"/>
      <c r="C12" t="s">
        <v>232</v>
      </c>
      <c r="G12" s="68">
        <f>G93</f>
        <v>51624213</v>
      </c>
      <c r="H12" s="59">
        <f>J93</f>
        <v>298010.68</v>
      </c>
      <c r="M12" s="91"/>
    </row>
    <row r="13" spans="2:13" x14ac:dyDescent="0.4">
      <c r="B13" s="28"/>
      <c r="C13" t="s">
        <v>233</v>
      </c>
      <c r="G13" s="68">
        <f>G108</f>
        <v>2983300</v>
      </c>
      <c r="H13" s="59">
        <f>J108</f>
        <v>18454.150000000001</v>
      </c>
      <c r="M13" s="91"/>
    </row>
    <row r="14" spans="2:13" x14ac:dyDescent="0.4">
      <c r="B14" s="28"/>
      <c r="C14" t="s">
        <v>234</v>
      </c>
      <c r="G14" s="68">
        <v>27592713</v>
      </c>
      <c r="H14" s="59">
        <f>J123</f>
        <v>170298.25999999998</v>
      </c>
      <c r="M14" s="91"/>
    </row>
    <row r="15" spans="2:13" x14ac:dyDescent="0.4">
      <c r="B15" s="28"/>
      <c r="C15" t="s">
        <v>235</v>
      </c>
      <c r="G15" s="68">
        <v>13814539</v>
      </c>
      <c r="H15" s="59">
        <f>J138</f>
        <v>137949.94</v>
      </c>
      <c r="M15" s="91"/>
    </row>
    <row r="16" spans="2:13" x14ac:dyDescent="0.4">
      <c r="B16" s="28"/>
      <c r="C16" t="s">
        <v>236</v>
      </c>
      <c r="G16" s="242">
        <v>36877196</v>
      </c>
      <c r="H16" s="81">
        <f>J152</f>
        <v>215188.22</v>
      </c>
      <c r="M16" s="91"/>
    </row>
    <row r="17" spans="2:13" x14ac:dyDescent="0.4">
      <c r="B17" s="28"/>
      <c r="C17" t="s">
        <v>29</v>
      </c>
      <c r="G17" s="68">
        <f>SUM(G9:G16)</f>
        <v>353972588</v>
      </c>
      <c r="H17" s="59">
        <f>SUM(H9:H16)</f>
        <v>2533319.1799999997</v>
      </c>
      <c r="M17" s="91"/>
    </row>
    <row r="18" spans="2:13" x14ac:dyDescent="0.4">
      <c r="B18" s="28"/>
      <c r="C18" t="s">
        <v>237</v>
      </c>
      <c r="G18" s="68">
        <v>-2222445</v>
      </c>
      <c r="H18" s="59">
        <v>-12067.277950000002</v>
      </c>
      <c r="M18" s="91"/>
    </row>
    <row r="19" spans="2:13" x14ac:dyDescent="0.4">
      <c r="B19" s="28"/>
      <c r="C19" t="s">
        <v>238</v>
      </c>
      <c r="G19" s="242"/>
      <c r="H19" s="81">
        <v>-2765.25</v>
      </c>
      <c r="M19" s="91"/>
    </row>
    <row r="20" spans="2:13" x14ac:dyDescent="0.4">
      <c r="B20" s="28"/>
      <c r="C20" t="s">
        <v>239</v>
      </c>
      <c r="G20" s="68">
        <f>SUM(G17:G19)</f>
        <v>351750143</v>
      </c>
      <c r="H20" s="59">
        <f>SUM(H17:H19)</f>
        <v>2518486.6520499997</v>
      </c>
      <c r="M20" s="91"/>
    </row>
    <row r="21" spans="2:13" x14ac:dyDescent="0.4">
      <c r="B21" s="28"/>
      <c r="C21" t="s">
        <v>240</v>
      </c>
      <c r="G21" s="242">
        <v>-351750143</v>
      </c>
      <c r="H21" s="81">
        <f>-'SAO - DSC'!F9</f>
        <v>-2611738</v>
      </c>
      <c r="M21" s="91"/>
    </row>
    <row r="22" spans="2:13" ht="15.4" thickBot="1" x14ac:dyDescent="0.45">
      <c r="B22" s="28"/>
      <c r="C22" t="s">
        <v>142</v>
      </c>
      <c r="G22" s="114">
        <f>SUM(G20:G21)</f>
        <v>0</v>
      </c>
      <c r="H22" s="82">
        <f>SUM(H20:H21)</f>
        <v>-93251.347950000316</v>
      </c>
      <c r="M22" s="91"/>
    </row>
    <row r="23" spans="2:13" ht="15.4" thickTop="1" x14ac:dyDescent="0.4">
      <c r="B23" s="28"/>
      <c r="M23" s="91"/>
    </row>
    <row r="24" spans="2:13" x14ac:dyDescent="0.4">
      <c r="B24" s="28"/>
      <c r="C24" t="s">
        <v>155</v>
      </c>
      <c r="M24" s="91"/>
    </row>
    <row r="25" spans="2:13" x14ac:dyDescent="0.4">
      <c r="B25" s="28"/>
      <c r="C25" t="s">
        <v>244</v>
      </c>
      <c r="H25" s="59">
        <f>J157</f>
        <v>17584.080000000002</v>
      </c>
      <c r="M25" s="91"/>
    </row>
    <row r="26" spans="2:13" x14ac:dyDescent="0.4">
      <c r="B26" s="28"/>
      <c r="C26" t="s">
        <v>245</v>
      </c>
      <c r="H26" s="59">
        <f>J168</f>
        <v>24535.02</v>
      </c>
      <c r="M26" s="91"/>
    </row>
    <row r="27" spans="2:13" x14ac:dyDescent="0.4">
      <c r="B27" s="28"/>
      <c r="C27" t="s">
        <v>29</v>
      </c>
      <c r="H27" s="81">
        <f>SUM(H25:H26)</f>
        <v>42119.100000000006</v>
      </c>
      <c r="M27" s="91"/>
    </row>
    <row r="28" spans="2:13" x14ac:dyDescent="0.4">
      <c r="B28" s="28"/>
      <c r="C28" t="s">
        <v>237</v>
      </c>
      <c r="H28" s="59">
        <f>J158</f>
        <v>-571.84</v>
      </c>
      <c r="M28" s="91"/>
    </row>
    <row r="29" spans="2:13" x14ac:dyDescent="0.4">
      <c r="B29" s="28"/>
      <c r="C29" t="s">
        <v>238</v>
      </c>
      <c r="H29" s="81">
        <v>0</v>
      </c>
      <c r="M29" s="91"/>
    </row>
    <row r="30" spans="2:13" x14ac:dyDescent="0.4">
      <c r="B30" s="28"/>
      <c r="C30" t="s">
        <v>239</v>
      </c>
      <c r="H30" s="59">
        <f>SUM(H27:H29)</f>
        <v>41547.260000000009</v>
      </c>
      <c r="M30" s="91"/>
    </row>
    <row r="31" spans="2:13" x14ac:dyDescent="0.4">
      <c r="B31" s="28"/>
      <c r="C31" t="s">
        <v>246</v>
      </c>
      <c r="H31" s="81">
        <v>-41703</v>
      </c>
      <c r="M31" s="91"/>
    </row>
    <row r="32" spans="2:13" ht="15.4" thickBot="1" x14ac:dyDescent="0.45">
      <c r="B32" s="28"/>
      <c r="C32" t="s">
        <v>142</v>
      </c>
      <c r="H32" s="82">
        <f>SUM(H30:H31)</f>
        <v>-155.73999999999069</v>
      </c>
      <c r="M32" s="91"/>
    </row>
    <row r="33" spans="2:13" ht="15.4" thickTop="1" x14ac:dyDescent="0.4">
      <c r="B33" s="28"/>
      <c r="C33" t="s">
        <v>229</v>
      </c>
      <c r="M33" s="91"/>
    </row>
    <row r="34" spans="2:13" x14ac:dyDescent="0.4">
      <c r="B34" s="28"/>
      <c r="M34" s="91"/>
    </row>
    <row r="35" spans="2:13" x14ac:dyDescent="0.4">
      <c r="B35" s="28"/>
      <c r="E35" s="112" t="s">
        <v>124</v>
      </c>
      <c r="F35" s="110" t="s">
        <v>125</v>
      </c>
      <c r="G35" s="70">
        <f>D36</f>
        <v>2000</v>
      </c>
      <c r="H35" s="70">
        <f>D37</f>
        <v>8000</v>
      </c>
      <c r="I35" s="70">
        <f>D38</f>
        <v>190000</v>
      </c>
      <c r="J35" s="70">
        <f>D39</f>
        <v>400000</v>
      </c>
      <c r="K35" s="70">
        <f>D40</f>
        <v>600000</v>
      </c>
      <c r="L35" s="112" t="s">
        <v>29</v>
      </c>
      <c r="M35" s="91"/>
    </row>
    <row r="36" spans="2:13" x14ac:dyDescent="0.4">
      <c r="B36" s="28"/>
      <c r="C36" t="s">
        <v>48</v>
      </c>
      <c r="D36" s="68">
        <v>2000</v>
      </c>
      <c r="E36" s="68">
        <v>11392</v>
      </c>
      <c r="F36" s="68">
        <v>10345731</v>
      </c>
      <c r="G36" s="68">
        <f>F36</f>
        <v>10345731</v>
      </c>
      <c r="H36" s="68"/>
      <c r="I36" s="68"/>
      <c r="J36" s="68"/>
      <c r="K36" s="68"/>
      <c r="L36" s="68">
        <f>SUM(G36:K36)</f>
        <v>10345731</v>
      </c>
      <c r="M36" s="91"/>
    </row>
    <row r="37" spans="2:13" x14ac:dyDescent="0.4">
      <c r="B37" s="28"/>
      <c r="C37" t="s">
        <v>49</v>
      </c>
      <c r="D37" s="68">
        <v>8000</v>
      </c>
      <c r="E37" s="68">
        <v>26113</v>
      </c>
      <c r="F37" s="68">
        <v>116419692</v>
      </c>
      <c r="G37" s="68">
        <f>E37*G35</f>
        <v>52226000</v>
      </c>
      <c r="H37" s="68">
        <f>F37-G37</f>
        <v>64193692</v>
      </c>
      <c r="I37" s="68"/>
      <c r="J37" s="68"/>
      <c r="K37" s="68"/>
      <c r="L37" s="68">
        <f t="shared" ref="L37:L40" si="0">SUM(G37:K37)</f>
        <v>116419692</v>
      </c>
      <c r="M37" s="91"/>
    </row>
    <row r="38" spans="2:13" x14ac:dyDescent="0.4">
      <c r="B38" s="28"/>
      <c r="C38" t="s">
        <v>49</v>
      </c>
      <c r="D38" s="68">
        <v>190000</v>
      </c>
      <c r="E38" s="68">
        <v>3105</v>
      </c>
      <c r="F38" s="68">
        <v>59741624</v>
      </c>
      <c r="G38" s="68">
        <f>E38*G35</f>
        <v>6210000</v>
      </c>
      <c r="H38" s="68">
        <f>E38*H35</f>
        <v>24840000</v>
      </c>
      <c r="I38" s="68">
        <f>F38-G38-H38</f>
        <v>28691624</v>
      </c>
      <c r="J38" s="68"/>
      <c r="K38" s="68"/>
      <c r="L38" s="68">
        <f t="shared" si="0"/>
        <v>59741624</v>
      </c>
      <c r="M38" s="91"/>
    </row>
    <row r="39" spans="2:13" x14ac:dyDescent="0.4">
      <c r="B39" s="28"/>
      <c r="C39" t="s">
        <v>49</v>
      </c>
      <c r="D39" s="68">
        <v>400000</v>
      </c>
      <c r="E39" s="68">
        <v>4</v>
      </c>
      <c r="F39" s="68">
        <v>933854</v>
      </c>
      <c r="G39" s="68">
        <f>E39*G35</f>
        <v>8000</v>
      </c>
      <c r="H39" s="68">
        <f>E39*H35</f>
        <v>32000</v>
      </c>
      <c r="I39" s="68">
        <f>E39*I35</f>
        <v>760000</v>
      </c>
      <c r="J39" s="68">
        <f>F39-G39-H39-I39</f>
        <v>133854</v>
      </c>
      <c r="K39" s="68"/>
      <c r="L39" s="68">
        <f t="shared" si="0"/>
        <v>933854</v>
      </c>
      <c r="M39" s="91"/>
    </row>
    <row r="40" spans="2:13" x14ac:dyDescent="0.4">
      <c r="B40" s="28"/>
      <c r="C40" t="s">
        <v>76</v>
      </c>
      <c r="D40" s="68">
        <v>600000</v>
      </c>
      <c r="E40" s="68">
        <v>0</v>
      </c>
      <c r="F40" s="68">
        <v>0</v>
      </c>
      <c r="G40" s="68">
        <f>E40*G35</f>
        <v>0</v>
      </c>
      <c r="H40" s="68">
        <f>E40*H35</f>
        <v>0</v>
      </c>
      <c r="I40" s="68">
        <f>I35*E40</f>
        <v>0</v>
      </c>
      <c r="J40" s="68">
        <f>J35*E40</f>
        <v>0</v>
      </c>
      <c r="K40" s="68">
        <f>F40-G40-H40-I40-J40</f>
        <v>0</v>
      </c>
      <c r="L40" s="68">
        <f t="shared" si="0"/>
        <v>0</v>
      </c>
      <c r="M40" s="91"/>
    </row>
    <row r="41" spans="2:13" ht="15.4" thickBot="1" x14ac:dyDescent="0.45">
      <c r="B41" s="28"/>
      <c r="E41" s="114">
        <f>SUM(E36:E40)</f>
        <v>40614</v>
      </c>
      <c r="F41" s="114">
        <f t="shared" ref="F41:L41" si="1">SUM(F36:F40)</f>
        <v>187440901</v>
      </c>
      <c r="G41" s="114">
        <f t="shared" si="1"/>
        <v>68789731</v>
      </c>
      <c r="H41" s="114">
        <f t="shared" si="1"/>
        <v>89065692</v>
      </c>
      <c r="I41" s="114">
        <f t="shared" si="1"/>
        <v>29451624</v>
      </c>
      <c r="J41" s="114">
        <f t="shared" si="1"/>
        <v>133854</v>
      </c>
      <c r="K41" s="114">
        <f t="shared" si="1"/>
        <v>0</v>
      </c>
      <c r="L41" s="114">
        <f t="shared" si="1"/>
        <v>187440901</v>
      </c>
      <c r="M41" s="91"/>
    </row>
    <row r="42" spans="2:13" ht="15.4" thickTop="1" x14ac:dyDescent="0.4">
      <c r="B42" s="28"/>
      <c r="E42" s="68"/>
      <c r="F42"/>
      <c r="G42"/>
      <c r="H42"/>
      <c r="J42"/>
      <c r="M42" s="91"/>
    </row>
    <row r="43" spans="2:13" x14ac:dyDescent="0.4">
      <c r="B43" s="28"/>
      <c r="C43" t="s">
        <v>48</v>
      </c>
      <c r="D43" s="68">
        <f>D36</f>
        <v>2000</v>
      </c>
      <c r="E43" t="s">
        <v>125</v>
      </c>
      <c r="F43" s="68">
        <f>E41</f>
        <v>40614</v>
      </c>
      <c r="G43" s="68">
        <f>G41</f>
        <v>68789731</v>
      </c>
      <c r="H43" s="93">
        <v>17.84</v>
      </c>
      <c r="I43" t="s">
        <v>145</v>
      </c>
      <c r="J43" s="68">
        <f>ROUND(F43*H43,2)</f>
        <v>724553.76</v>
      </c>
      <c r="M43" s="91"/>
    </row>
    <row r="44" spans="2:13" x14ac:dyDescent="0.4">
      <c r="B44" s="28"/>
      <c r="C44" t="s">
        <v>49</v>
      </c>
      <c r="D44" s="68">
        <f>D37</f>
        <v>8000</v>
      </c>
      <c r="E44" t="s">
        <v>125</v>
      </c>
      <c r="F44" s="68"/>
      <c r="G44" s="68">
        <f>H41</f>
        <v>89065692</v>
      </c>
      <c r="H44" s="115">
        <v>6.45E-3</v>
      </c>
      <c r="I44" t="s">
        <v>144</v>
      </c>
      <c r="J44" s="68">
        <f>ROUND(G44*H44,2)</f>
        <v>574473.71</v>
      </c>
      <c r="M44" s="91"/>
    </row>
    <row r="45" spans="2:13" x14ac:dyDescent="0.4">
      <c r="B45" s="28"/>
      <c r="C45" t="s">
        <v>49</v>
      </c>
      <c r="D45" s="68">
        <f>D38</f>
        <v>190000</v>
      </c>
      <c r="E45" t="s">
        <v>125</v>
      </c>
      <c r="F45" s="68"/>
      <c r="G45" s="68">
        <f>I41</f>
        <v>29451624</v>
      </c>
      <c r="H45" s="115">
        <v>5.7800000000000004E-3</v>
      </c>
      <c r="I45" t="s">
        <v>144</v>
      </c>
      <c r="J45" s="68">
        <f t="shared" ref="J45:J47" si="2">ROUND(G45*H45,2)</f>
        <v>170230.39</v>
      </c>
      <c r="M45" s="91"/>
    </row>
    <row r="46" spans="2:13" x14ac:dyDescent="0.4">
      <c r="B46" s="28"/>
      <c r="C46" t="s">
        <v>49</v>
      </c>
      <c r="D46" s="68">
        <f>D39</f>
        <v>400000</v>
      </c>
      <c r="E46" t="s">
        <v>125</v>
      </c>
      <c r="F46" s="68"/>
      <c r="G46" s="68">
        <f>J41</f>
        <v>133854</v>
      </c>
      <c r="H46" s="115">
        <v>5.4099999999999999E-3</v>
      </c>
      <c r="I46" t="s">
        <v>144</v>
      </c>
      <c r="J46" s="68">
        <f t="shared" si="2"/>
        <v>724.15</v>
      </c>
      <c r="M46" s="91"/>
    </row>
    <row r="47" spans="2:13" x14ac:dyDescent="0.4">
      <c r="B47" s="28"/>
      <c r="C47" t="s">
        <v>76</v>
      </c>
      <c r="D47" s="68">
        <f>D40</f>
        <v>600000</v>
      </c>
      <c r="E47" t="s">
        <v>125</v>
      </c>
      <c r="F47" s="68"/>
      <c r="G47" s="68">
        <f>K41</f>
        <v>0</v>
      </c>
      <c r="H47" s="115">
        <v>4.0099999999999997E-3</v>
      </c>
      <c r="I47" t="s">
        <v>144</v>
      </c>
      <c r="J47" s="59">
        <f t="shared" si="2"/>
        <v>0</v>
      </c>
      <c r="M47" s="91"/>
    </row>
    <row r="48" spans="2:13" ht="15.4" thickBot="1" x14ac:dyDescent="0.45">
      <c r="B48" s="28"/>
      <c r="C48" t="s">
        <v>241</v>
      </c>
      <c r="E48"/>
      <c r="F48" s="114">
        <f>SUM(F43:F47)</f>
        <v>40614</v>
      </c>
      <c r="G48" s="114">
        <f>SUM(G43:G47)</f>
        <v>187440901</v>
      </c>
      <c r="H48"/>
      <c r="I48"/>
      <c r="J48" s="82">
        <f>SUM(J43:J47)</f>
        <v>1469982.0099999998</v>
      </c>
      <c r="M48" s="91"/>
    </row>
    <row r="49" spans="2:13" ht="15.4" thickTop="1" x14ac:dyDescent="0.4">
      <c r="B49" s="28"/>
      <c r="M49" s="91"/>
    </row>
    <row r="50" spans="2:13" x14ac:dyDescent="0.4">
      <c r="B50" s="28"/>
      <c r="C50" t="s">
        <v>242</v>
      </c>
      <c r="M50" s="91"/>
    </row>
    <row r="51" spans="2:13" x14ac:dyDescent="0.4">
      <c r="B51" s="28"/>
      <c r="D51" s="68"/>
      <c r="E51" s="112" t="s">
        <v>124</v>
      </c>
      <c r="F51" s="110" t="s">
        <v>125</v>
      </c>
      <c r="G51" s="70">
        <f>D52</f>
        <v>5000</v>
      </c>
      <c r="H51" s="70">
        <f>D53</f>
        <v>5000</v>
      </c>
      <c r="I51" s="70">
        <f>D54</f>
        <v>190000</v>
      </c>
      <c r="J51" s="70">
        <f>D55</f>
        <v>400000</v>
      </c>
      <c r="K51" s="70">
        <f>D56</f>
        <v>600000</v>
      </c>
      <c r="L51" s="112" t="s">
        <v>29</v>
      </c>
      <c r="M51" s="91"/>
    </row>
    <row r="52" spans="2:13" x14ac:dyDescent="0.4">
      <c r="B52" s="28"/>
      <c r="C52" t="s">
        <v>48</v>
      </c>
      <c r="D52" s="68">
        <v>5000</v>
      </c>
      <c r="E52" s="68">
        <v>594</v>
      </c>
      <c r="F52" s="68">
        <v>979889</v>
      </c>
      <c r="G52" s="68">
        <f>F52</f>
        <v>979889</v>
      </c>
      <c r="H52" s="68"/>
      <c r="I52" s="68"/>
      <c r="J52" s="68"/>
      <c r="K52" s="68"/>
      <c r="L52" s="68">
        <f>SUM(G52:K52)</f>
        <v>979889</v>
      </c>
      <c r="M52" s="91"/>
    </row>
    <row r="53" spans="2:13" x14ac:dyDescent="0.4">
      <c r="B53" s="28"/>
      <c r="C53" t="s">
        <v>49</v>
      </c>
      <c r="D53" s="68">
        <v>5000</v>
      </c>
      <c r="E53" s="68">
        <v>226</v>
      </c>
      <c r="F53" s="68">
        <v>1661878</v>
      </c>
      <c r="G53" s="68">
        <f>E53*G51</f>
        <v>1130000</v>
      </c>
      <c r="H53" s="68">
        <f>F53-G53</f>
        <v>531878</v>
      </c>
      <c r="I53" s="68"/>
      <c r="J53" s="68"/>
      <c r="K53" s="68"/>
      <c r="L53" s="68">
        <f t="shared" ref="L53:L56" si="3">SUM(G53:K53)</f>
        <v>1661878</v>
      </c>
      <c r="M53" s="91"/>
    </row>
    <row r="54" spans="2:13" x14ac:dyDescent="0.4">
      <c r="B54" s="28"/>
      <c r="C54" t="s">
        <v>49</v>
      </c>
      <c r="D54" s="68">
        <v>190000</v>
      </c>
      <c r="E54" s="68">
        <v>439</v>
      </c>
      <c r="F54" s="68">
        <v>14938510</v>
      </c>
      <c r="G54" s="68">
        <f>E54*G51</f>
        <v>2195000</v>
      </c>
      <c r="H54" s="68">
        <f>E54*H51</f>
        <v>2195000</v>
      </c>
      <c r="I54" s="68">
        <f>F54-G54-H54</f>
        <v>10548510</v>
      </c>
      <c r="J54" s="68"/>
      <c r="K54" s="68"/>
      <c r="L54" s="68">
        <f t="shared" si="3"/>
        <v>14938510</v>
      </c>
      <c r="M54" s="91"/>
    </row>
    <row r="55" spans="2:13" x14ac:dyDescent="0.4">
      <c r="B55" s="28"/>
      <c r="C55" t="s">
        <v>49</v>
      </c>
      <c r="D55" s="68">
        <v>400000</v>
      </c>
      <c r="E55" s="68">
        <v>27</v>
      </c>
      <c r="F55" s="68">
        <v>6708850</v>
      </c>
      <c r="G55" s="68">
        <f>E55*G51</f>
        <v>135000</v>
      </c>
      <c r="H55" s="68">
        <f>E55*H51</f>
        <v>135000</v>
      </c>
      <c r="I55" s="68">
        <f>E55*I51</f>
        <v>5130000</v>
      </c>
      <c r="J55" s="68">
        <f>F55-G55-H55-I55</f>
        <v>1308850</v>
      </c>
      <c r="K55" s="68"/>
      <c r="L55" s="68">
        <f t="shared" si="3"/>
        <v>6708850</v>
      </c>
      <c r="M55" s="91"/>
    </row>
    <row r="56" spans="2:13" x14ac:dyDescent="0.4">
      <c r="B56" s="28"/>
      <c r="C56" t="s">
        <v>76</v>
      </c>
      <c r="D56" s="68">
        <v>600000</v>
      </c>
      <c r="E56" s="68">
        <v>0</v>
      </c>
      <c r="F56" s="68">
        <v>0</v>
      </c>
      <c r="G56" s="68">
        <f>E56*G51</f>
        <v>0</v>
      </c>
      <c r="H56" s="68">
        <f>E56*H51</f>
        <v>0</v>
      </c>
      <c r="I56" s="68">
        <f>I51*E56</f>
        <v>0</v>
      </c>
      <c r="J56" s="68">
        <f>J51*E56</f>
        <v>0</v>
      </c>
      <c r="K56" s="68">
        <f>F56-G56-H56-I56-J56</f>
        <v>0</v>
      </c>
      <c r="L56" s="68">
        <f t="shared" si="3"/>
        <v>0</v>
      </c>
      <c r="M56" s="91"/>
    </row>
    <row r="57" spans="2:13" ht="15.4" thickBot="1" x14ac:dyDescent="0.45">
      <c r="B57" s="28"/>
      <c r="D57" s="68"/>
      <c r="E57" s="114">
        <f>SUM(E52:E56)</f>
        <v>1286</v>
      </c>
      <c r="F57" s="114">
        <f t="shared" ref="F57:L57" si="4">SUM(F52:F56)</f>
        <v>24289127</v>
      </c>
      <c r="G57" s="114">
        <f t="shared" si="4"/>
        <v>4439889</v>
      </c>
      <c r="H57" s="114">
        <f t="shared" si="4"/>
        <v>2861878</v>
      </c>
      <c r="I57" s="114">
        <f t="shared" si="4"/>
        <v>15678510</v>
      </c>
      <c r="J57" s="114">
        <f t="shared" si="4"/>
        <v>1308850</v>
      </c>
      <c r="K57" s="114">
        <f t="shared" si="4"/>
        <v>0</v>
      </c>
      <c r="L57" s="114">
        <f t="shared" si="4"/>
        <v>24289127</v>
      </c>
      <c r="M57" s="91"/>
    </row>
    <row r="58" spans="2:13" ht="15.4" thickTop="1" x14ac:dyDescent="0.4">
      <c r="B58" s="28"/>
      <c r="D58" s="68"/>
      <c r="F58"/>
      <c r="G58"/>
      <c r="H58"/>
      <c r="J58"/>
      <c r="M58" s="91"/>
    </row>
    <row r="59" spans="2:13" x14ac:dyDescent="0.4">
      <c r="B59" s="28"/>
      <c r="C59" t="s">
        <v>48</v>
      </c>
      <c r="D59" s="68">
        <v>5000</v>
      </c>
      <c r="E59" t="s">
        <v>125</v>
      </c>
      <c r="F59" s="68">
        <f>E57</f>
        <v>1286</v>
      </c>
      <c r="G59" s="68">
        <f>G57</f>
        <v>4439889</v>
      </c>
      <c r="H59" s="93">
        <v>38.29</v>
      </c>
      <c r="I59" t="s">
        <v>145</v>
      </c>
      <c r="J59" s="68">
        <f>ROUND(F59*H59,2)</f>
        <v>49240.94</v>
      </c>
      <c r="M59" s="91"/>
    </row>
    <row r="60" spans="2:13" x14ac:dyDescent="0.4">
      <c r="B60" s="28"/>
      <c r="C60" t="s">
        <v>49</v>
      </c>
      <c r="D60" s="68">
        <v>5000</v>
      </c>
      <c r="E60" t="s">
        <v>125</v>
      </c>
      <c r="F60" s="68"/>
      <c r="G60" s="68">
        <f>H57</f>
        <v>2861878</v>
      </c>
      <c r="H60" s="115">
        <v>6.45E-3</v>
      </c>
      <c r="I60" t="s">
        <v>144</v>
      </c>
      <c r="J60" s="68">
        <f>ROUND(G60*H60,2)</f>
        <v>18459.11</v>
      </c>
      <c r="M60" s="91"/>
    </row>
    <row r="61" spans="2:13" x14ac:dyDescent="0.4">
      <c r="B61" s="28"/>
      <c r="C61" t="s">
        <v>49</v>
      </c>
      <c r="D61" s="68">
        <v>190000</v>
      </c>
      <c r="E61" t="s">
        <v>125</v>
      </c>
      <c r="F61" s="68"/>
      <c r="G61" s="68">
        <f>I57</f>
        <v>15678510</v>
      </c>
      <c r="H61" s="115">
        <v>5.7800000000000004E-3</v>
      </c>
      <c r="I61" t="s">
        <v>144</v>
      </c>
      <c r="J61" s="68">
        <f t="shared" ref="J61:J63" si="5">ROUND(G61*H61,2)</f>
        <v>90621.79</v>
      </c>
      <c r="M61" s="91"/>
    </row>
    <row r="62" spans="2:13" x14ac:dyDescent="0.4">
      <c r="B62" s="28"/>
      <c r="C62" t="s">
        <v>49</v>
      </c>
      <c r="D62" s="68">
        <v>400000</v>
      </c>
      <c r="E62" t="s">
        <v>125</v>
      </c>
      <c r="F62" s="68"/>
      <c r="G62" s="68">
        <f>J57</f>
        <v>1308850</v>
      </c>
      <c r="H62" s="115">
        <v>5.4099999999999999E-3</v>
      </c>
      <c r="I62" t="s">
        <v>144</v>
      </c>
      <c r="J62" s="68">
        <f t="shared" si="5"/>
        <v>7080.88</v>
      </c>
      <c r="M62" s="91"/>
    </row>
    <row r="63" spans="2:13" x14ac:dyDescent="0.4">
      <c r="B63" s="28"/>
      <c r="C63" t="s">
        <v>76</v>
      </c>
      <c r="D63" s="68">
        <v>600000</v>
      </c>
      <c r="E63" t="s">
        <v>125</v>
      </c>
      <c r="F63" s="68"/>
      <c r="G63" s="68"/>
      <c r="H63" s="115">
        <v>4.0099999999999997E-3</v>
      </c>
      <c r="I63" t="s">
        <v>144</v>
      </c>
      <c r="J63" s="59">
        <f t="shared" si="5"/>
        <v>0</v>
      </c>
      <c r="M63" s="91"/>
    </row>
    <row r="64" spans="2:13" ht="15.4" thickBot="1" x14ac:dyDescent="0.45">
      <c r="B64" s="28"/>
      <c r="C64" t="s">
        <v>241</v>
      </c>
      <c r="D64" s="68"/>
      <c r="E64"/>
      <c r="F64" s="114">
        <f>SUM(F59:F63)</f>
        <v>1286</v>
      </c>
      <c r="G64" s="114">
        <f>SUM(G59:G63)</f>
        <v>24289127</v>
      </c>
      <c r="H64"/>
      <c r="I64"/>
      <c r="J64" s="82">
        <f>SUM(J59:J63)</f>
        <v>165402.72</v>
      </c>
      <c r="M64" s="91"/>
    </row>
    <row r="65" spans="2:13" ht="15.4" thickTop="1" x14ac:dyDescent="0.4">
      <c r="B65" s="28"/>
      <c r="M65" s="91"/>
    </row>
    <row r="66" spans="2:13" x14ac:dyDescent="0.4">
      <c r="B66" s="28"/>
      <c r="C66" t="s">
        <v>243</v>
      </c>
      <c r="M66" s="91"/>
    </row>
    <row r="67" spans="2:13" x14ac:dyDescent="0.4">
      <c r="B67" s="28"/>
      <c r="D67" s="68"/>
      <c r="F67" s="112" t="s">
        <v>124</v>
      </c>
      <c r="G67" s="110" t="s">
        <v>125</v>
      </c>
      <c r="H67" s="70">
        <f>D68</f>
        <v>10000</v>
      </c>
      <c r="I67" s="70">
        <f>D69</f>
        <v>190000</v>
      </c>
      <c r="J67" s="70">
        <f>D70</f>
        <v>400000</v>
      </c>
      <c r="K67" s="70">
        <f>D71</f>
        <v>600000</v>
      </c>
      <c r="L67" s="112" t="s">
        <v>29</v>
      </c>
      <c r="M67" s="91"/>
    </row>
    <row r="68" spans="2:13" x14ac:dyDescent="0.4">
      <c r="B68" s="28"/>
      <c r="C68" t="s">
        <v>48</v>
      </c>
      <c r="D68" s="68">
        <v>10000</v>
      </c>
      <c r="E68" t="s">
        <v>125</v>
      </c>
      <c r="F68" s="68">
        <v>38</v>
      </c>
      <c r="G68" s="68">
        <v>96089</v>
      </c>
      <c r="H68" s="68">
        <f>G68</f>
        <v>96089</v>
      </c>
      <c r="I68" s="68"/>
      <c r="J68" s="68"/>
      <c r="K68" s="68"/>
      <c r="L68" s="68">
        <f>SUM(H68:K68)</f>
        <v>96089</v>
      </c>
      <c r="M68" s="91"/>
    </row>
    <row r="69" spans="2:13" x14ac:dyDescent="0.4">
      <c r="B69" s="28"/>
      <c r="C69" t="s">
        <v>49</v>
      </c>
      <c r="D69" s="68">
        <v>190000</v>
      </c>
      <c r="E69" t="s">
        <v>125</v>
      </c>
      <c r="F69" s="68">
        <v>95</v>
      </c>
      <c r="G69" s="68">
        <v>5370765</v>
      </c>
      <c r="H69" s="68">
        <f>F69*H67</f>
        <v>950000</v>
      </c>
      <c r="I69" s="68">
        <f>G69-H69</f>
        <v>4420765</v>
      </c>
      <c r="J69" s="68"/>
      <c r="K69" s="68"/>
      <c r="L69" s="68">
        <f>SUM(H69:K69)</f>
        <v>5370765</v>
      </c>
      <c r="M69" s="91"/>
    </row>
    <row r="70" spans="2:13" x14ac:dyDescent="0.4">
      <c r="B70" s="28"/>
      <c r="C70" t="s">
        <v>49</v>
      </c>
      <c r="D70" s="68">
        <v>400000</v>
      </c>
      <c r="E70" t="s">
        <v>125</v>
      </c>
      <c r="F70" s="68">
        <v>13</v>
      </c>
      <c r="G70" s="68">
        <v>3883745</v>
      </c>
      <c r="H70" s="68">
        <f>F70*H67</f>
        <v>130000</v>
      </c>
      <c r="I70" s="68">
        <f>F70*I67</f>
        <v>2470000</v>
      </c>
      <c r="J70" s="68">
        <f>G70-H70-I70</f>
        <v>1283745</v>
      </c>
      <c r="K70" s="68"/>
      <c r="L70" s="68">
        <f>SUM(H70:K70)</f>
        <v>3883745</v>
      </c>
      <c r="M70" s="91"/>
    </row>
    <row r="71" spans="2:13" x14ac:dyDescent="0.4">
      <c r="B71" s="28"/>
      <c r="C71" t="s">
        <v>76</v>
      </c>
      <c r="D71" s="68">
        <v>600000</v>
      </c>
      <c r="E71" t="s">
        <v>125</v>
      </c>
      <c r="F71" s="68">
        <v>0</v>
      </c>
      <c r="G71" s="68">
        <v>0</v>
      </c>
      <c r="H71" s="68">
        <f>F71*H67</f>
        <v>0</v>
      </c>
      <c r="I71" s="68">
        <f>I67*F71</f>
        <v>0</v>
      </c>
      <c r="J71" s="68">
        <f>J67*F71</f>
        <v>0</v>
      </c>
      <c r="K71" s="68">
        <f>G71-H71-I71-J71</f>
        <v>0</v>
      </c>
      <c r="L71" s="68">
        <f>SUM(H71:K71)</f>
        <v>0</v>
      </c>
      <c r="M71" s="91"/>
    </row>
    <row r="72" spans="2:13" ht="15.4" thickBot="1" x14ac:dyDescent="0.45">
      <c r="B72" s="28"/>
      <c r="D72" s="68"/>
      <c r="F72" s="114">
        <f t="shared" ref="F72:L72" si="6">SUM(F68:F71)</f>
        <v>146</v>
      </c>
      <c r="G72" s="114">
        <f t="shared" si="6"/>
        <v>9350599</v>
      </c>
      <c r="H72" s="114">
        <f t="shared" si="6"/>
        <v>1176089</v>
      </c>
      <c r="I72" s="114">
        <f t="shared" si="6"/>
        <v>6890765</v>
      </c>
      <c r="J72" s="114">
        <f t="shared" si="6"/>
        <v>1283745</v>
      </c>
      <c r="K72" s="114">
        <f t="shared" si="6"/>
        <v>0</v>
      </c>
      <c r="L72" s="114">
        <f t="shared" si="6"/>
        <v>9350599</v>
      </c>
      <c r="M72" s="91"/>
    </row>
    <row r="73" spans="2:13" ht="15.4" thickTop="1" x14ac:dyDescent="0.4">
      <c r="B73" s="28"/>
      <c r="D73" s="68"/>
      <c r="F73" s="59" t="e">
        <f>#REF!</f>
        <v>#REF!</v>
      </c>
      <c r="G73"/>
      <c r="H73"/>
      <c r="I73"/>
      <c r="J73"/>
      <c r="M73" s="91"/>
    </row>
    <row r="74" spans="2:13" x14ac:dyDescent="0.4">
      <c r="B74" s="28"/>
      <c r="C74" t="s">
        <v>48</v>
      </c>
      <c r="D74" s="68">
        <v>10000</v>
      </c>
      <c r="E74" t="s">
        <v>125</v>
      </c>
      <c r="F74" s="68">
        <f>F72</f>
        <v>146</v>
      </c>
      <c r="G74" s="68">
        <f>H72</f>
        <v>1176089</v>
      </c>
      <c r="H74" s="93">
        <v>77.12</v>
      </c>
      <c r="I74" t="s">
        <v>145</v>
      </c>
      <c r="J74" s="93">
        <f>ROUND(F74*H74,2)</f>
        <v>11259.52</v>
      </c>
      <c r="K74" s="68"/>
      <c r="M74" s="91"/>
    </row>
    <row r="75" spans="2:13" x14ac:dyDescent="0.4">
      <c r="B75" s="28"/>
      <c r="C75" t="s">
        <v>49</v>
      </c>
      <c r="D75" s="68">
        <v>190000</v>
      </c>
      <c r="E75" t="s">
        <v>125</v>
      </c>
      <c r="F75" s="68"/>
      <c r="G75" s="68">
        <f>I72</f>
        <v>6890765</v>
      </c>
      <c r="H75" s="115">
        <v>5.7800000000000004E-3</v>
      </c>
      <c r="I75" t="s">
        <v>144</v>
      </c>
      <c r="J75" s="68">
        <f t="shared" ref="J75:J77" si="7">ROUND(G75*H75,2)</f>
        <v>39828.620000000003</v>
      </c>
      <c r="K75" s="68"/>
      <c r="M75" s="91"/>
    </row>
    <row r="76" spans="2:13" x14ac:dyDescent="0.4">
      <c r="B76" s="28"/>
      <c r="C76" t="s">
        <v>49</v>
      </c>
      <c r="D76" s="68">
        <v>400000</v>
      </c>
      <c r="E76" t="s">
        <v>125</v>
      </c>
      <c r="F76" s="68"/>
      <c r="G76" s="68">
        <f>J72</f>
        <v>1283745</v>
      </c>
      <c r="H76" s="115">
        <v>5.4099999999999999E-3</v>
      </c>
      <c r="I76" t="s">
        <v>144</v>
      </c>
      <c r="J76" s="68">
        <f t="shared" si="7"/>
        <v>6945.06</v>
      </c>
      <c r="K76" s="68"/>
      <c r="M76" s="91"/>
    </row>
    <row r="77" spans="2:13" x14ac:dyDescent="0.4">
      <c r="B77" s="28"/>
      <c r="C77" t="s">
        <v>76</v>
      </c>
      <c r="D77" s="68">
        <v>600000</v>
      </c>
      <c r="E77" t="s">
        <v>125</v>
      </c>
      <c r="F77" s="68"/>
      <c r="G77" s="68"/>
      <c r="H77" s="115">
        <v>4.0099999999999997E-3</v>
      </c>
      <c r="I77" t="s">
        <v>144</v>
      </c>
      <c r="J77" s="81">
        <f t="shared" si="7"/>
        <v>0</v>
      </c>
      <c r="K77" s="68"/>
      <c r="M77" s="91"/>
    </row>
    <row r="78" spans="2:13" ht="15.4" thickBot="1" x14ac:dyDescent="0.45">
      <c r="B78" s="28"/>
      <c r="C78" t="s">
        <v>241</v>
      </c>
      <c r="D78" s="68"/>
      <c r="F78" s="114">
        <f>SUM(F74:F77)</f>
        <v>146</v>
      </c>
      <c r="G78" s="114">
        <f>SUM(G74:G77)</f>
        <v>9350599</v>
      </c>
      <c r="H78"/>
      <c r="I78"/>
      <c r="J78" s="446">
        <f>SUM(J74:J77)</f>
        <v>58033.2</v>
      </c>
      <c r="K78" s="68"/>
      <c r="M78" s="91"/>
    </row>
    <row r="79" spans="2:13" ht="15.4" thickTop="1" x14ac:dyDescent="0.4">
      <c r="B79" s="97"/>
      <c r="C79" s="57"/>
      <c r="D79" s="57"/>
      <c r="E79" s="81"/>
      <c r="F79" s="81"/>
      <c r="G79" s="81"/>
      <c r="H79" s="81"/>
      <c r="I79" s="81"/>
      <c r="J79" s="81"/>
      <c r="K79" s="81"/>
      <c r="L79" s="81"/>
      <c r="M79" s="98"/>
    </row>
    <row r="80" spans="2:13" ht="18" x14ac:dyDescent="0.55000000000000004">
      <c r="B80" s="28"/>
      <c r="C80" s="508" t="s">
        <v>474</v>
      </c>
      <c r="D80" s="508"/>
      <c r="E80" s="508"/>
      <c r="F80" s="508"/>
      <c r="G80" s="508"/>
      <c r="H80" s="508"/>
      <c r="I80" s="508"/>
      <c r="J80" s="508"/>
      <c r="K80" s="508"/>
      <c r="L80" s="508"/>
      <c r="M80" s="91"/>
    </row>
    <row r="81" spans="2:13" x14ac:dyDescent="0.4">
      <c r="B81" s="28"/>
      <c r="C81" t="s">
        <v>232</v>
      </c>
      <c r="M81" s="91"/>
    </row>
    <row r="82" spans="2:13" x14ac:dyDescent="0.4">
      <c r="B82" s="28"/>
      <c r="D82" s="68"/>
      <c r="E82" s="112" t="s">
        <v>124</v>
      </c>
      <c r="F82" s="110" t="s">
        <v>125</v>
      </c>
      <c r="G82" s="70">
        <f>D83</f>
        <v>16000</v>
      </c>
      <c r="H82" s="70">
        <f>D84</f>
        <v>184000</v>
      </c>
      <c r="I82" s="70">
        <f>D85</f>
        <v>400000</v>
      </c>
      <c r="J82" s="70">
        <f>D86</f>
        <v>600000</v>
      </c>
      <c r="K82" s="112" t="s">
        <v>29</v>
      </c>
      <c r="M82" s="91"/>
    </row>
    <row r="83" spans="2:13" x14ac:dyDescent="0.4">
      <c r="B83" s="28"/>
      <c r="C83" t="s">
        <v>48</v>
      </c>
      <c r="D83" s="68">
        <v>16000</v>
      </c>
      <c r="E83" s="68">
        <v>98</v>
      </c>
      <c r="F83" s="68">
        <v>227752</v>
      </c>
      <c r="G83" s="68">
        <f>F83</f>
        <v>227752</v>
      </c>
      <c r="H83" s="68"/>
      <c r="I83" s="68"/>
      <c r="J83" s="68"/>
      <c r="K83" s="68">
        <f>SUM(G83:J83)</f>
        <v>227752</v>
      </c>
      <c r="M83" s="91"/>
    </row>
    <row r="84" spans="2:13" x14ac:dyDescent="0.4">
      <c r="B84" s="28"/>
      <c r="C84" t="s">
        <v>49</v>
      </c>
      <c r="D84" s="68">
        <v>184000</v>
      </c>
      <c r="E84" s="68">
        <v>314</v>
      </c>
      <c r="F84" s="68">
        <v>18818275</v>
      </c>
      <c r="G84" s="68">
        <f>E84*G82</f>
        <v>5024000</v>
      </c>
      <c r="H84" s="68">
        <f>F84-G84</f>
        <v>13794275</v>
      </c>
      <c r="I84" s="68"/>
      <c r="J84" s="68"/>
      <c r="K84" s="68">
        <f>SUM(G84:J84)</f>
        <v>18818275</v>
      </c>
      <c r="M84" s="91"/>
    </row>
    <row r="85" spans="2:13" x14ac:dyDescent="0.4">
      <c r="B85" s="28"/>
      <c r="C85" t="s">
        <v>49</v>
      </c>
      <c r="D85" s="68">
        <v>400000</v>
      </c>
      <c r="E85" s="68">
        <v>30</v>
      </c>
      <c r="F85" s="68">
        <v>9822057</v>
      </c>
      <c r="G85" s="68">
        <f>E85*G82</f>
        <v>480000</v>
      </c>
      <c r="H85" s="68">
        <f>E85*H82</f>
        <v>5520000</v>
      </c>
      <c r="I85" s="68">
        <f>F85-G85-H85</f>
        <v>3822057</v>
      </c>
      <c r="J85" s="68"/>
      <c r="K85" s="68">
        <f>SUM(G85:J85)</f>
        <v>9822057</v>
      </c>
      <c r="M85" s="91"/>
    </row>
    <row r="86" spans="2:13" x14ac:dyDescent="0.4">
      <c r="B86" s="28"/>
      <c r="C86" t="s">
        <v>76</v>
      </c>
      <c r="D86" s="68">
        <v>600000</v>
      </c>
      <c r="E86" s="68">
        <v>26</v>
      </c>
      <c r="F86" s="68">
        <v>22756129</v>
      </c>
      <c r="G86" s="68">
        <f>E86*G82</f>
        <v>416000</v>
      </c>
      <c r="H86" s="68">
        <f>H82*E86</f>
        <v>4784000</v>
      </c>
      <c r="I86" s="68">
        <f>I82*E86</f>
        <v>10400000</v>
      </c>
      <c r="J86" s="68">
        <f>F86-G86-H86-I86</f>
        <v>7156129</v>
      </c>
      <c r="K86" s="68">
        <f>SUM(G86:J86)</f>
        <v>22756129</v>
      </c>
      <c r="M86" s="91"/>
    </row>
    <row r="87" spans="2:13" ht="15.4" thickBot="1" x14ac:dyDescent="0.45">
      <c r="B87" s="28"/>
      <c r="D87" s="68"/>
      <c r="E87" s="114">
        <f t="shared" ref="E87:K87" si="8">SUM(E83:E86)</f>
        <v>468</v>
      </c>
      <c r="F87" s="114">
        <f t="shared" si="8"/>
        <v>51624213</v>
      </c>
      <c r="G87" s="114">
        <f t="shared" si="8"/>
        <v>6147752</v>
      </c>
      <c r="H87" s="114">
        <f t="shared" si="8"/>
        <v>24098275</v>
      </c>
      <c r="I87" s="114">
        <f t="shared" si="8"/>
        <v>14222057</v>
      </c>
      <c r="J87" s="114">
        <f t="shared" si="8"/>
        <v>7156129</v>
      </c>
      <c r="K87" s="114">
        <f t="shared" si="8"/>
        <v>51624213</v>
      </c>
      <c r="M87" s="91"/>
    </row>
    <row r="88" spans="2:13" ht="15.4" thickTop="1" x14ac:dyDescent="0.4">
      <c r="B88" s="28"/>
      <c r="D88" s="68"/>
      <c r="E88" s="68"/>
      <c r="G88"/>
      <c r="H88"/>
      <c r="I88"/>
      <c r="J88"/>
      <c r="M88" s="91"/>
    </row>
    <row r="89" spans="2:13" x14ac:dyDescent="0.4">
      <c r="B89" s="28"/>
      <c r="C89" t="s">
        <v>48</v>
      </c>
      <c r="D89" s="68">
        <v>16000</v>
      </c>
      <c r="E89" t="s">
        <v>125</v>
      </c>
      <c r="F89" s="68">
        <f>E87</f>
        <v>468</v>
      </c>
      <c r="G89" s="68">
        <f>G87</f>
        <v>6147752</v>
      </c>
      <c r="H89" s="93">
        <v>113.43</v>
      </c>
      <c r="I89" t="s">
        <v>145</v>
      </c>
      <c r="J89" s="93">
        <f>ROUND(F89*H89,2)</f>
        <v>53085.24</v>
      </c>
      <c r="K89" s="68"/>
      <c r="M89" s="91"/>
    </row>
    <row r="90" spans="2:13" x14ac:dyDescent="0.4">
      <c r="B90" s="28"/>
      <c r="C90" t="s">
        <v>49</v>
      </c>
      <c r="D90" s="68">
        <v>184000</v>
      </c>
      <c r="E90" t="s">
        <v>125</v>
      </c>
      <c r="F90" s="68"/>
      <c r="G90" s="68">
        <f>H87</f>
        <v>24098275</v>
      </c>
      <c r="H90" s="115">
        <v>5.7800000000000004E-3</v>
      </c>
      <c r="I90" t="s">
        <v>144</v>
      </c>
      <c r="J90" s="68">
        <f t="shared" ref="J90:J92" si="9">ROUND(G90*H90,2)</f>
        <v>139288.03</v>
      </c>
      <c r="K90" s="68"/>
      <c r="M90" s="91"/>
    </row>
    <row r="91" spans="2:13" x14ac:dyDescent="0.4">
      <c r="B91" s="28"/>
      <c r="C91" t="s">
        <v>49</v>
      </c>
      <c r="D91" s="68">
        <v>400000</v>
      </c>
      <c r="E91" t="s">
        <v>125</v>
      </c>
      <c r="F91" s="68"/>
      <c r="G91" s="68">
        <f>I87</f>
        <v>14222057</v>
      </c>
      <c r="H91" s="115">
        <v>5.4099999999999999E-3</v>
      </c>
      <c r="I91" t="s">
        <v>144</v>
      </c>
      <c r="J91" s="68">
        <f t="shared" si="9"/>
        <v>76941.33</v>
      </c>
      <c r="K91" s="68"/>
      <c r="M91" s="91"/>
    </row>
    <row r="92" spans="2:13" x14ac:dyDescent="0.4">
      <c r="B92" s="28"/>
      <c r="C92" t="s">
        <v>76</v>
      </c>
      <c r="D92" s="68">
        <v>600000</v>
      </c>
      <c r="E92" t="s">
        <v>125</v>
      </c>
      <c r="F92" s="68"/>
      <c r="G92" s="68">
        <f>J87</f>
        <v>7156129</v>
      </c>
      <c r="H92" s="115">
        <v>4.0099999999999997E-3</v>
      </c>
      <c r="I92" t="s">
        <v>144</v>
      </c>
      <c r="J92" s="81">
        <f t="shared" si="9"/>
        <v>28696.080000000002</v>
      </c>
      <c r="K92" s="68"/>
      <c r="M92" s="91"/>
    </row>
    <row r="93" spans="2:13" ht="15.4" thickBot="1" x14ac:dyDescent="0.45">
      <c r="B93" s="28"/>
      <c r="C93" t="s">
        <v>241</v>
      </c>
      <c r="D93" s="68"/>
      <c r="E93"/>
      <c r="F93" s="114">
        <f>SUM(F89:F92)</f>
        <v>468</v>
      </c>
      <c r="G93" s="114">
        <f>SUM(G89:G92)</f>
        <v>51624213</v>
      </c>
      <c r="H93"/>
      <c r="I93"/>
      <c r="J93" s="446">
        <f>SUM(J89:J92)</f>
        <v>298010.68</v>
      </c>
      <c r="K93" s="68"/>
      <c r="M93" s="91"/>
    </row>
    <row r="94" spans="2:13" ht="15.4" thickTop="1" x14ac:dyDescent="0.4">
      <c r="B94" s="28"/>
      <c r="M94" s="91"/>
    </row>
    <row r="95" spans="2:13" x14ac:dyDescent="0.4">
      <c r="B95" s="28"/>
      <c r="C95" t="s">
        <v>233</v>
      </c>
      <c r="M95" s="91"/>
    </row>
    <row r="96" spans="2:13" x14ac:dyDescent="0.4">
      <c r="B96" s="28"/>
      <c r="D96" s="68"/>
      <c r="E96" s="112" t="s">
        <v>124</v>
      </c>
      <c r="F96" s="110" t="s">
        <v>125</v>
      </c>
      <c r="G96" s="70">
        <f>D97</f>
        <v>30000</v>
      </c>
      <c r="H96" s="70">
        <f>D98</f>
        <v>170000</v>
      </c>
      <c r="I96" s="70">
        <f>D99</f>
        <v>400000</v>
      </c>
      <c r="J96" s="70">
        <f>D100</f>
        <v>600000</v>
      </c>
      <c r="K96" s="112" t="s">
        <v>29</v>
      </c>
      <c r="M96" s="91"/>
    </row>
    <row r="97" spans="2:13" x14ac:dyDescent="0.4">
      <c r="B97" s="28"/>
      <c r="C97" t="s">
        <v>48</v>
      </c>
      <c r="D97" s="68">
        <v>30000</v>
      </c>
      <c r="E97" s="68">
        <v>0</v>
      </c>
      <c r="F97" s="68">
        <v>0</v>
      </c>
      <c r="G97" s="68">
        <f>F97</f>
        <v>0</v>
      </c>
      <c r="H97" s="68"/>
      <c r="I97" s="68"/>
      <c r="J97" s="68"/>
      <c r="K97" s="68">
        <f>SUM(G97:J97)</f>
        <v>0</v>
      </c>
      <c r="L97" s="59">
        <v>0</v>
      </c>
      <c r="M97" s="91"/>
    </row>
    <row r="98" spans="2:13" x14ac:dyDescent="0.4">
      <c r="B98" s="28"/>
      <c r="C98" t="s">
        <v>49</v>
      </c>
      <c r="D98" s="68">
        <v>170000</v>
      </c>
      <c r="E98" s="68">
        <v>23</v>
      </c>
      <c r="F98" s="68">
        <v>2773900</v>
      </c>
      <c r="G98" s="68">
        <f>E98*G96</f>
        <v>690000</v>
      </c>
      <c r="H98" s="68">
        <f>F98-G98</f>
        <v>2083900</v>
      </c>
      <c r="I98" s="68"/>
      <c r="J98" s="68"/>
      <c r="K98" s="68">
        <f>SUM(G98:J98)</f>
        <v>2773900</v>
      </c>
      <c r="L98" s="59">
        <v>2399900</v>
      </c>
      <c r="M98" s="91"/>
    </row>
    <row r="99" spans="2:13" x14ac:dyDescent="0.4">
      <c r="B99" s="28"/>
      <c r="C99" t="s">
        <v>49</v>
      </c>
      <c r="D99" s="68">
        <v>400000</v>
      </c>
      <c r="E99" s="68">
        <v>1</v>
      </c>
      <c r="F99" s="68">
        <v>209400</v>
      </c>
      <c r="G99" s="68">
        <f>E99*G96</f>
        <v>30000</v>
      </c>
      <c r="H99" s="68">
        <f>E99*H96</f>
        <v>170000</v>
      </c>
      <c r="I99" s="68">
        <f>F99-G99-H99</f>
        <v>9400</v>
      </c>
      <c r="J99" s="68"/>
      <c r="K99" s="68">
        <f>SUM(G99:J99)</f>
        <v>209400</v>
      </c>
      <c r="L99" s="59">
        <v>2983300</v>
      </c>
      <c r="M99" s="91"/>
    </row>
    <row r="100" spans="2:13" x14ac:dyDescent="0.4">
      <c r="B100" s="28"/>
      <c r="C100" t="s">
        <v>76</v>
      </c>
      <c r="D100" s="68">
        <v>600000</v>
      </c>
      <c r="E100" s="68">
        <v>0</v>
      </c>
      <c r="F100" s="68">
        <v>0</v>
      </c>
      <c r="G100" s="68">
        <f>E100*G96</f>
        <v>0</v>
      </c>
      <c r="H100" s="68">
        <f>H96*E100</f>
        <v>0</v>
      </c>
      <c r="I100" s="68">
        <f>I96*E100</f>
        <v>0</v>
      </c>
      <c r="J100" s="68">
        <f>F100-G100-H100-I100</f>
        <v>0</v>
      </c>
      <c r="K100" s="68">
        <f>SUM(G100:J100)</f>
        <v>0</v>
      </c>
      <c r="L100" s="59">
        <v>0</v>
      </c>
      <c r="M100" s="91"/>
    </row>
    <row r="101" spans="2:13" ht="15.4" thickBot="1" x14ac:dyDescent="0.45">
      <c r="B101" s="28"/>
      <c r="D101" s="68"/>
      <c r="E101" s="114">
        <f t="shared" ref="E101:K101" si="10">SUM(E97:E100)</f>
        <v>24</v>
      </c>
      <c r="F101" s="114">
        <f t="shared" si="10"/>
        <v>2983300</v>
      </c>
      <c r="G101" s="114">
        <f t="shared" si="10"/>
        <v>720000</v>
      </c>
      <c r="H101" s="114">
        <f t="shared" si="10"/>
        <v>2253900</v>
      </c>
      <c r="I101" s="114">
        <f t="shared" si="10"/>
        <v>9400</v>
      </c>
      <c r="J101" s="114">
        <f t="shared" si="10"/>
        <v>0</v>
      </c>
      <c r="K101" s="114">
        <f t="shared" si="10"/>
        <v>2983300</v>
      </c>
      <c r="L101" s="59">
        <v>5383200</v>
      </c>
      <c r="M101" s="91"/>
    </row>
    <row r="102" spans="2:13" ht="15.4" thickTop="1" x14ac:dyDescent="0.4">
      <c r="B102" s="28"/>
      <c r="D102" s="68"/>
      <c r="E102" s="68"/>
      <c r="G102"/>
      <c r="H102"/>
      <c r="I102"/>
      <c r="J102"/>
      <c r="M102" s="91"/>
    </row>
    <row r="103" spans="2:13" x14ac:dyDescent="0.4">
      <c r="B103" s="28"/>
      <c r="D103" s="68"/>
      <c r="E103"/>
      <c r="F103" s="68"/>
      <c r="G103" s="68"/>
      <c r="H103" s="68"/>
      <c r="I103" s="68"/>
      <c r="J103" s="68"/>
      <c r="K103" s="68"/>
      <c r="M103" s="91"/>
    </row>
    <row r="104" spans="2:13" x14ac:dyDescent="0.4">
      <c r="B104" s="28"/>
      <c r="C104" t="s">
        <v>48</v>
      </c>
      <c r="D104" s="68">
        <v>30000</v>
      </c>
      <c r="E104" t="s">
        <v>125</v>
      </c>
      <c r="F104" s="68">
        <f>E101</f>
        <v>24</v>
      </c>
      <c r="G104" s="68">
        <f>G101</f>
        <v>720000</v>
      </c>
      <c r="H104" s="93">
        <v>223.99</v>
      </c>
      <c r="I104" t="s">
        <v>145</v>
      </c>
      <c r="J104" s="93">
        <f>ROUND(F104*H104,2)</f>
        <v>5375.76</v>
      </c>
      <c r="K104" s="68"/>
      <c r="M104" s="91"/>
    </row>
    <row r="105" spans="2:13" x14ac:dyDescent="0.4">
      <c r="B105" s="28"/>
      <c r="C105" t="s">
        <v>49</v>
      </c>
      <c r="D105" s="68">
        <v>170000</v>
      </c>
      <c r="E105" t="s">
        <v>125</v>
      </c>
      <c r="F105" s="68"/>
      <c r="G105" s="68">
        <f>H101</f>
        <v>2253900</v>
      </c>
      <c r="H105" s="115">
        <v>5.7800000000000004E-3</v>
      </c>
      <c r="I105" t="s">
        <v>144</v>
      </c>
      <c r="J105" s="68">
        <f t="shared" ref="J105:J107" si="11">ROUND(G105*H105,2)</f>
        <v>13027.54</v>
      </c>
      <c r="K105" s="68"/>
      <c r="M105" s="91"/>
    </row>
    <row r="106" spans="2:13" x14ac:dyDescent="0.4">
      <c r="B106" s="28"/>
      <c r="C106" t="s">
        <v>49</v>
      </c>
      <c r="D106" s="68">
        <v>400000</v>
      </c>
      <c r="E106" t="s">
        <v>125</v>
      </c>
      <c r="F106" s="68"/>
      <c r="G106" s="68">
        <f>I101</f>
        <v>9400</v>
      </c>
      <c r="H106" s="115">
        <v>5.4099999999999999E-3</v>
      </c>
      <c r="I106" t="s">
        <v>144</v>
      </c>
      <c r="J106" s="68">
        <f t="shared" si="11"/>
        <v>50.85</v>
      </c>
      <c r="K106" s="68"/>
      <c r="M106" s="91"/>
    </row>
    <row r="107" spans="2:13" x14ac:dyDescent="0.4">
      <c r="B107" s="28"/>
      <c r="C107" t="s">
        <v>76</v>
      </c>
      <c r="D107" s="68">
        <v>600000</v>
      </c>
      <c r="E107" t="s">
        <v>125</v>
      </c>
      <c r="F107" s="68"/>
      <c r="G107" s="68">
        <f>J101</f>
        <v>0</v>
      </c>
      <c r="H107" s="115">
        <v>4.0099999999999997E-3</v>
      </c>
      <c r="I107" t="s">
        <v>144</v>
      </c>
      <c r="J107" s="81">
        <f t="shared" si="11"/>
        <v>0</v>
      </c>
      <c r="K107" s="68"/>
      <c r="M107" s="91"/>
    </row>
    <row r="108" spans="2:13" ht="15.4" thickBot="1" x14ac:dyDescent="0.45">
      <c r="B108" s="28"/>
      <c r="C108" t="s">
        <v>241</v>
      </c>
      <c r="D108" s="68"/>
      <c r="E108"/>
      <c r="F108" s="114">
        <f>SUM(F104:F107)</f>
        <v>24</v>
      </c>
      <c r="G108" s="114">
        <f>SUM(G104:G107)</f>
        <v>2983300</v>
      </c>
      <c r="H108"/>
      <c r="I108"/>
      <c r="J108" s="446">
        <f>SUM(J104:J107)</f>
        <v>18454.150000000001</v>
      </c>
      <c r="K108" s="68"/>
      <c r="M108" s="91"/>
    </row>
    <row r="109" spans="2:13" ht="15.4" thickTop="1" x14ac:dyDescent="0.4">
      <c r="B109" s="28"/>
      <c r="M109" s="91"/>
    </row>
    <row r="110" spans="2:13" x14ac:dyDescent="0.4">
      <c r="B110" s="28"/>
      <c r="C110" t="s">
        <v>234</v>
      </c>
      <c r="M110" s="91"/>
    </row>
    <row r="111" spans="2:13" x14ac:dyDescent="0.4">
      <c r="B111" s="28"/>
      <c r="D111" s="68"/>
      <c r="E111" s="112" t="s">
        <v>124</v>
      </c>
      <c r="F111" s="110" t="s">
        <v>125</v>
      </c>
      <c r="G111" s="70">
        <f>D112</f>
        <v>50000</v>
      </c>
      <c r="H111" s="70">
        <f>D113</f>
        <v>150000</v>
      </c>
      <c r="I111" s="70">
        <f>D114</f>
        <v>400000</v>
      </c>
      <c r="J111" s="70">
        <f>D115</f>
        <v>600000</v>
      </c>
      <c r="M111" s="91"/>
    </row>
    <row r="112" spans="2:13" x14ac:dyDescent="0.4">
      <c r="B112" s="28"/>
      <c r="C112" t="s">
        <v>48</v>
      </c>
      <c r="D112" s="68">
        <v>50000</v>
      </c>
      <c r="E112" s="68">
        <v>87</v>
      </c>
      <c r="F112" s="68">
        <v>1309623</v>
      </c>
      <c r="G112" s="68">
        <f>F112</f>
        <v>1309623</v>
      </c>
      <c r="H112" s="68"/>
      <c r="I112" s="68"/>
      <c r="J112" s="68"/>
      <c r="M112" s="91"/>
    </row>
    <row r="113" spans="2:13" x14ac:dyDescent="0.4">
      <c r="B113" s="28"/>
      <c r="C113" t="s">
        <v>49</v>
      </c>
      <c r="D113" s="68">
        <v>150000</v>
      </c>
      <c r="E113" s="68">
        <v>33</v>
      </c>
      <c r="F113" s="68">
        <v>3138767</v>
      </c>
      <c r="G113" s="68">
        <f>E113*G111</f>
        <v>1650000</v>
      </c>
      <c r="H113" s="68">
        <f>F113-G113</f>
        <v>1488767</v>
      </c>
      <c r="I113" s="68"/>
      <c r="J113" s="68"/>
      <c r="M113" s="91"/>
    </row>
    <row r="114" spans="2:13" x14ac:dyDescent="0.4">
      <c r="B114" s="28"/>
      <c r="C114" t="s">
        <v>49</v>
      </c>
      <c r="D114" s="68">
        <v>400000</v>
      </c>
      <c r="E114" s="68">
        <v>27</v>
      </c>
      <c r="F114" s="68">
        <v>10766326</v>
      </c>
      <c r="G114" s="68">
        <f>E114*G111</f>
        <v>1350000</v>
      </c>
      <c r="H114" s="68">
        <f>E114*H111</f>
        <v>4050000</v>
      </c>
      <c r="I114" s="68">
        <f>F114-G114-H114</f>
        <v>5366326</v>
      </c>
      <c r="J114" s="68"/>
      <c r="M114" s="91"/>
    </row>
    <row r="115" spans="2:13" x14ac:dyDescent="0.4">
      <c r="B115" s="28"/>
      <c r="C115" t="s">
        <v>76</v>
      </c>
      <c r="D115" s="68">
        <v>600000</v>
      </c>
      <c r="E115" s="68">
        <v>9</v>
      </c>
      <c r="F115" s="68">
        <v>12377997</v>
      </c>
      <c r="G115" s="68">
        <f>E115*G111</f>
        <v>450000</v>
      </c>
      <c r="H115" s="68">
        <f>H111*E115</f>
        <v>1350000</v>
      </c>
      <c r="I115" s="68">
        <f>I111*E115</f>
        <v>3600000</v>
      </c>
      <c r="J115" s="68">
        <f>F115-G115-H115-I115</f>
        <v>6977997</v>
      </c>
      <c r="M115" s="91"/>
    </row>
    <row r="116" spans="2:13" ht="15.4" thickBot="1" x14ac:dyDescent="0.45">
      <c r="B116" s="28"/>
      <c r="D116" s="68"/>
      <c r="E116" s="114">
        <f t="shared" ref="E116:J116" si="12">SUM(E112:E115)</f>
        <v>156</v>
      </c>
      <c r="F116" s="114">
        <f t="shared" si="12"/>
        <v>27592713</v>
      </c>
      <c r="G116" s="114">
        <f t="shared" si="12"/>
        <v>4759623</v>
      </c>
      <c r="H116" s="114">
        <f t="shared" si="12"/>
        <v>6888767</v>
      </c>
      <c r="I116" s="114">
        <f t="shared" si="12"/>
        <v>8966326</v>
      </c>
      <c r="J116" s="114">
        <f t="shared" si="12"/>
        <v>6977997</v>
      </c>
      <c r="M116" s="91"/>
    </row>
    <row r="117" spans="2:13" ht="15.4" thickTop="1" x14ac:dyDescent="0.4">
      <c r="B117" s="28"/>
      <c r="D117" s="68"/>
      <c r="E117" s="68"/>
      <c r="F117" s="68"/>
      <c r="G117"/>
      <c r="H117"/>
      <c r="I117"/>
      <c r="J117"/>
      <c r="M117" s="91"/>
    </row>
    <row r="118" spans="2:13" x14ac:dyDescent="0.4">
      <c r="B118" s="28"/>
      <c r="D118" s="68"/>
      <c r="E118"/>
      <c r="F118" s="68"/>
      <c r="G118" s="68"/>
      <c r="H118" s="68"/>
      <c r="I118" s="68"/>
      <c r="J118" s="68"/>
      <c r="M118" s="91"/>
    </row>
    <row r="119" spans="2:13" x14ac:dyDescent="0.4">
      <c r="B119" s="28"/>
      <c r="C119" t="s">
        <v>48</v>
      </c>
      <c r="D119" s="68">
        <v>50000</v>
      </c>
      <c r="E119" t="s">
        <v>125</v>
      </c>
      <c r="F119" s="68">
        <f>E116</f>
        <v>156</v>
      </c>
      <c r="G119" s="68">
        <f>G116</f>
        <v>4759623</v>
      </c>
      <c r="H119" s="93">
        <v>346.1</v>
      </c>
      <c r="I119" t="s">
        <v>145</v>
      </c>
      <c r="J119" s="93">
        <f>ROUND(F119*H119,2)</f>
        <v>53991.6</v>
      </c>
      <c r="M119" s="91"/>
    </row>
    <row r="120" spans="2:13" x14ac:dyDescent="0.4">
      <c r="B120" s="28"/>
      <c r="C120" t="s">
        <v>49</v>
      </c>
      <c r="D120" s="68">
        <v>150000</v>
      </c>
      <c r="E120" t="s">
        <v>125</v>
      </c>
      <c r="F120" s="68"/>
      <c r="G120" s="68">
        <f>H116</f>
        <v>6888767</v>
      </c>
      <c r="H120" s="115">
        <v>5.7800000000000004E-3</v>
      </c>
      <c r="I120" t="s">
        <v>144</v>
      </c>
      <c r="J120" s="59">
        <f t="shared" ref="J120:J122" si="13">ROUND(G120*H120,2)</f>
        <v>39817.07</v>
      </c>
      <c r="M120" s="91"/>
    </row>
    <row r="121" spans="2:13" x14ac:dyDescent="0.4">
      <c r="B121" s="28"/>
      <c r="C121" t="s">
        <v>49</v>
      </c>
      <c r="D121" s="68">
        <v>400000</v>
      </c>
      <c r="E121" t="s">
        <v>125</v>
      </c>
      <c r="F121" s="68"/>
      <c r="G121" s="68">
        <f>I116</f>
        <v>8966326</v>
      </c>
      <c r="H121" s="115">
        <v>5.4099999999999999E-3</v>
      </c>
      <c r="I121" t="s">
        <v>144</v>
      </c>
      <c r="J121" s="59">
        <f t="shared" si="13"/>
        <v>48507.82</v>
      </c>
      <c r="M121" s="91"/>
    </row>
    <row r="122" spans="2:13" x14ac:dyDescent="0.4">
      <c r="B122" s="28"/>
      <c r="C122" t="s">
        <v>76</v>
      </c>
      <c r="D122" s="68">
        <v>600000</v>
      </c>
      <c r="E122" t="s">
        <v>125</v>
      </c>
      <c r="F122" s="68"/>
      <c r="G122" s="68">
        <f>J116</f>
        <v>6977997</v>
      </c>
      <c r="H122" s="115">
        <v>4.0099999999999997E-3</v>
      </c>
      <c r="I122" t="s">
        <v>144</v>
      </c>
      <c r="J122" s="81">
        <f t="shared" si="13"/>
        <v>27981.77</v>
      </c>
      <c r="M122" s="91"/>
    </row>
    <row r="123" spans="2:13" ht="15.4" thickBot="1" x14ac:dyDescent="0.45">
      <c r="B123" s="28"/>
      <c r="C123" t="s">
        <v>241</v>
      </c>
      <c r="D123" s="68"/>
      <c r="E123"/>
      <c r="F123" s="114">
        <f>SUM(F119:F122)</f>
        <v>156</v>
      </c>
      <c r="G123" s="114">
        <f>SUM(G119:G122)</f>
        <v>27592713</v>
      </c>
      <c r="H123"/>
      <c r="I123"/>
      <c r="J123" s="446">
        <f>SUM(J119:J122)</f>
        <v>170298.25999999998</v>
      </c>
      <c r="M123" s="91"/>
    </row>
    <row r="124" spans="2:13" ht="15.4" thickTop="1" x14ac:dyDescent="0.4">
      <c r="B124" s="28"/>
      <c r="M124" s="91"/>
    </row>
    <row r="125" spans="2:13" x14ac:dyDescent="0.4">
      <c r="B125" s="28"/>
      <c r="C125" t="s">
        <v>235</v>
      </c>
      <c r="M125" s="91"/>
    </row>
    <row r="126" spans="2:13" x14ac:dyDescent="0.4">
      <c r="B126" s="28"/>
      <c r="D126" s="68"/>
      <c r="E126" s="112" t="s">
        <v>124</v>
      </c>
      <c r="F126" s="110" t="s">
        <v>125</v>
      </c>
      <c r="G126" s="70">
        <f>D127</f>
        <v>100000</v>
      </c>
      <c r="H126" s="70">
        <f>D128</f>
        <v>100000</v>
      </c>
      <c r="I126" s="70">
        <f>D129</f>
        <v>400000</v>
      </c>
      <c r="J126" s="70">
        <f>D130</f>
        <v>600000</v>
      </c>
      <c r="M126" s="91"/>
    </row>
    <row r="127" spans="2:13" x14ac:dyDescent="0.4">
      <c r="B127" s="28"/>
      <c r="C127" t="s">
        <v>48</v>
      </c>
      <c r="D127" s="68">
        <v>100000</v>
      </c>
      <c r="E127" s="68">
        <v>102</v>
      </c>
      <c r="F127" s="68">
        <v>1419113</v>
      </c>
      <c r="G127" s="68">
        <f>F127</f>
        <v>1419113</v>
      </c>
      <c r="H127" s="68"/>
      <c r="I127" s="68"/>
      <c r="J127" s="68"/>
      <c r="M127" s="91"/>
    </row>
    <row r="128" spans="2:13" x14ac:dyDescent="0.4">
      <c r="B128" s="28"/>
      <c r="C128" t="s">
        <v>49</v>
      </c>
      <c r="D128" s="68">
        <v>100000</v>
      </c>
      <c r="E128" s="68">
        <v>8</v>
      </c>
      <c r="F128" s="68">
        <v>1052026</v>
      </c>
      <c r="G128" s="68">
        <f>E128*G126</f>
        <v>800000</v>
      </c>
      <c r="H128" s="68">
        <f>F128-G128</f>
        <v>252026</v>
      </c>
      <c r="I128" s="68"/>
      <c r="J128" s="68"/>
      <c r="M128" s="91"/>
    </row>
    <row r="129" spans="2:13" x14ac:dyDescent="0.4">
      <c r="B129" s="28"/>
      <c r="C129" t="s">
        <v>49</v>
      </c>
      <c r="D129" s="68">
        <v>400000</v>
      </c>
      <c r="E129" s="68">
        <v>33</v>
      </c>
      <c r="F129" s="68">
        <v>9755400</v>
      </c>
      <c r="G129" s="68">
        <f>E129*G126</f>
        <v>3300000</v>
      </c>
      <c r="H129" s="68">
        <f>E129*H126</f>
        <v>3300000</v>
      </c>
      <c r="I129" s="68">
        <f>F129-G129-H129</f>
        <v>3155400</v>
      </c>
      <c r="J129" s="68"/>
      <c r="M129" s="91"/>
    </row>
    <row r="130" spans="2:13" x14ac:dyDescent="0.4">
      <c r="B130" s="28"/>
      <c r="C130" t="s">
        <v>76</v>
      </c>
      <c r="D130" s="68">
        <v>600000</v>
      </c>
      <c r="E130" s="68">
        <v>1</v>
      </c>
      <c r="F130" s="68">
        <v>1588000</v>
      </c>
      <c r="G130" s="68">
        <f>E130*G126</f>
        <v>100000</v>
      </c>
      <c r="H130" s="68">
        <f>H126*E130</f>
        <v>100000</v>
      </c>
      <c r="I130" s="68">
        <f>I126*E130</f>
        <v>400000</v>
      </c>
      <c r="J130" s="68">
        <f>F130-G130-H130-I130</f>
        <v>988000</v>
      </c>
      <c r="M130" s="91"/>
    </row>
    <row r="131" spans="2:13" ht="15.4" thickBot="1" x14ac:dyDescent="0.45">
      <c r="B131" s="28"/>
      <c r="D131" s="68"/>
      <c r="E131" s="114">
        <f t="shared" ref="E131:J131" si="14">SUM(E127:E130)</f>
        <v>144</v>
      </c>
      <c r="F131" s="114">
        <f t="shared" si="14"/>
        <v>13814539</v>
      </c>
      <c r="G131" s="114">
        <f t="shared" si="14"/>
        <v>5619113</v>
      </c>
      <c r="H131" s="114">
        <f t="shared" si="14"/>
        <v>3652026</v>
      </c>
      <c r="I131" s="114">
        <f t="shared" si="14"/>
        <v>3555400</v>
      </c>
      <c r="J131" s="114">
        <f t="shared" si="14"/>
        <v>988000</v>
      </c>
      <c r="M131" s="91"/>
    </row>
    <row r="132" spans="2:13" ht="15.4" thickTop="1" x14ac:dyDescent="0.4">
      <c r="B132" s="28"/>
      <c r="D132" s="68"/>
      <c r="E132" s="68"/>
      <c r="F132" s="68"/>
      <c r="G132"/>
      <c r="H132"/>
      <c r="I132"/>
      <c r="J132"/>
      <c r="M132" s="91"/>
    </row>
    <row r="133" spans="2:13" x14ac:dyDescent="0.4">
      <c r="B133" s="28"/>
      <c r="D133" s="68"/>
      <c r="E133"/>
      <c r="F133" s="68"/>
      <c r="G133" s="68"/>
      <c r="H133" s="68"/>
      <c r="I133" s="68"/>
      <c r="J133" s="68"/>
      <c r="M133" s="91"/>
    </row>
    <row r="134" spans="2:13" x14ac:dyDescent="0.4">
      <c r="B134" s="28"/>
      <c r="C134" t="s">
        <v>48</v>
      </c>
      <c r="D134" s="68">
        <v>100000</v>
      </c>
      <c r="E134" t="s">
        <v>125</v>
      </c>
      <c r="F134" s="68">
        <f>E131</f>
        <v>144</v>
      </c>
      <c r="G134" s="68">
        <f>G131</f>
        <v>5619113</v>
      </c>
      <c r="H134" s="93">
        <v>650.30999999999995</v>
      </c>
      <c r="I134" t="s">
        <v>145</v>
      </c>
      <c r="J134" s="93">
        <f>ROUND(F134*H134,2)</f>
        <v>93644.64</v>
      </c>
      <c r="M134" s="91"/>
    </row>
    <row r="135" spans="2:13" x14ac:dyDescent="0.4">
      <c r="B135" s="28"/>
      <c r="C135" t="s">
        <v>49</v>
      </c>
      <c r="D135" s="68">
        <v>100000</v>
      </c>
      <c r="E135" t="s">
        <v>125</v>
      </c>
      <c r="F135" s="68"/>
      <c r="G135" s="68">
        <f>H131</f>
        <v>3652026</v>
      </c>
      <c r="H135" s="115">
        <v>5.7800000000000004E-3</v>
      </c>
      <c r="I135" t="s">
        <v>144</v>
      </c>
      <c r="J135" s="59">
        <f t="shared" ref="J135:J137" si="15">ROUND(G135*H135,2)</f>
        <v>21108.71</v>
      </c>
      <c r="M135" s="91"/>
    </row>
    <row r="136" spans="2:13" x14ac:dyDescent="0.4">
      <c r="B136" s="28"/>
      <c r="C136" t="s">
        <v>49</v>
      </c>
      <c r="D136" s="68">
        <v>400000</v>
      </c>
      <c r="E136" t="s">
        <v>125</v>
      </c>
      <c r="F136" s="68"/>
      <c r="G136" s="68">
        <f>I131</f>
        <v>3555400</v>
      </c>
      <c r="H136" s="115">
        <v>5.4099999999999999E-3</v>
      </c>
      <c r="I136" t="s">
        <v>144</v>
      </c>
      <c r="J136" s="59">
        <f t="shared" si="15"/>
        <v>19234.71</v>
      </c>
      <c r="M136" s="91"/>
    </row>
    <row r="137" spans="2:13" x14ac:dyDescent="0.4">
      <c r="B137" s="28"/>
      <c r="C137" t="s">
        <v>76</v>
      </c>
      <c r="D137" s="68">
        <v>600000</v>
      </c>
      <c r="E137" t="s">
        <v>125</v>
      </c>
      <c r="F137" s="68"/>
      <c r="G137" s="68">
        <f>J131</f>
        <v>988000</v>
      </c>
      <c r="H137" s="115">
        <v>4.0099999999999997E-3</v>
      </c>
      <c r="I137" t="s">
        <v>144</v>
      </c>
      <c r="J137" s="81">
        <f t="shared" si="15"/>
        <v>3961.88</v>
      </c>
      <c r="M137" s="91"/>
    </row>
    <row r="138" spans="2:13" ht="15.4" thickBot="1" x14ac:dyDescent="0.45">
      <c r="B138" s="28"/>
      <c r="C138" t="s">
        <v>241</v>
      </c>
      <c r="D138" s="68"/>
      <c r="E138"/>
      <c r="F138" s="114">
        <f>SUM(F134:F137)</f>
        <v>144</v>
      </c>
      <c r="G138" s="114">
        <f>SUM(G134:G137)</f>
        <v>13814539</v>
      </c>
      <c r="H138"/>
      <c r="I138"/>
      <c r="J138" s="446">
        <f>SUM(J134:J137)</f>
        <v>137949.94</v>
      </c>
      <c r="M138" s="91"/>
    </row>
    <row r="139" spans="2:13" ht="15.4" thickTop="1" x14ac:dyDescent="0.4">
      <c r="B139" s="28"/>
      <c r="M139" s="91"/>
    </row>
    <row r="140" spans="2:13" x14ac:dyDescent="0.4">
      <c r="B140" s="28"/>
      <c r="C140" t="s">
        <v>236</v>
      </c>
      <c r="M140" s="91"/>
    </row>
    <row r="141" spans="2:13" x14ac:dyDescent="0.4">
      <c r="B141" s="28"/>
      <c r="D141" s="68"/>
      <c r="E141" s="112" t="s">
        <v>124</v>
      </c>
      <c r="F141" s="110" t="s">
        <v>125</v>
      </c>
      <c r="G141" s="70">
        <f>D142</f>
        <v>160000</v>
      </c>
      <c r="H141" s="70">
        <f>D143</f>
        <v>40000</v>
      </c>
      <c r="I141" s="70">
        <f>D144</f>
        <v>400000</v>
      </c>
      <c r="J141" s="70">
        <f>D145</f>
        <v>600000</v>
      </c>
      <c r="M141" s="91"/>
    </row>
    <row r="142" spans="2:13" x14ac:dyDescent="0.4">
      <c r="B142" s="28"/>
      <c r="C142" t="s">
        <v>48</v>
      </c>
      <c r="D142" s="68">
        <v>160000</v>
      </c>
      <c r="E142" s="68">
        <v>41</v>
      </c>
      <c r="F142" s="68">
        <v>2455700</v>
      </c>
      <c r="G142" s="68">
        <f>F142</f>
        <v>2455700</v>
      </c>
      <c r="H142" s="68"/>
      <c r="I142" s="68"/>
      <c r="J142" s="68"/>
      <c r="M142" s="91"/>
    </row>
    <row r="143" spans="2:13" x14ac:dyDescent="0.4">
      <c r="B143" s="28"/>
      <c r="C143" t="s">
        <v>49</v>
      </c>
      <c r="D143" s="68">
        <v>40000</v>
      </c>
      <c r="E143" s="68">
        <v>2</v>
      </c>
      <c r="F143" s="68">
        <v>337600</v>
      </c>
      <c r="G143" s="68">
        <f>E143*G141</f>
        <v>320000</v>
      </c>
      <c r="H143" s="68">
        <f>F143-G143</f>
        <v>17600</v>
      </c>
      <c r="I143" s="68"/>
      <c r="J143" s="68"/>
      <c r="M143" s="91"/>
    </row>
    <row r="144" spans="2:13" x14ac:dyDescent="0.4">
      <c r="B144" s="28"/>
      <c r="C144" t="s">
        <v>49</v>
      </c>
      <c r="D144" s="68">
        <v>400000</v>
      </c>
      <c r="E144" s="68">
        <v>19</v>
      </c>
      <c r="F144" s="68">
        <v>6590075</v>
      </c>
      <c r="G144" s="68">
        <f>E144*G141</f>
        <v>3040000</v>
      </c>
      <c r="H144" s="68">
        <f>E144*H141</f>
        <v>760000</v>
      </c>
      <c r="I144" s="68">
        <f>F144-G144-H144</f>
        <v>2790075</v>
      </c>
      <c r="J144" s="68"/>
      <c r="M144" s="91"/>
    </row>
    <row r="145" spans="2:13" x14ac:dyDescent="0.4">
      <c r="B145" s="28"/>
      <c r="C145" t="s">
        <v>76</v>
      </c>
      <c r="D145" s="68">
        <v>600000</v>
      </c>
      <c r="E145" s="68">
        <v>22</v>
      </c>
      <c r="F145" s="68">
        <v>27493821</v>
      </c>
      <c r="G145" s="68">
        <f>E145*G141</f>
        <v>3520000</v>
      </c>
      <c r="H145" s="68">
        <f>H141*E145</f>
        <v>880000</v>
      </c>
      <c r="I145" s="68">
        <f>I141*E145</f>
        <v>8800000</v>
      </c>
      <c r="J145" s="68">
        <f>F145-G145-H145-I145</f>
        <v>14293821</v>
      </c>
      <c r="M145" s="91"/>
    </row>
    <row r="146" spans="2:13" ht="15.4" thickBot="1" x14ac:dyDescent="0.45">
      <c r="B146" s="28"/>
      <c r="D146" s="68"/>
      <c r="E146" s="114">
        <f t="shared" ref="E146:J146" si="16">SUM(E142:E145)</f>
        <v>84</v>
      </c>
      <c r="F146" s="114">
        <f t="shared" si="16"/>
        <v>36877196</v>
      </c>
      <c r="G146" s="114">
        <f t="shared" si="16"/>
        <v>9335700</v>
      </c>
      <c r="H146" s="114">
        <f t="shared" si="16"/>
        <v>1657600</v>
      </c>
      <c r="I146" s="114">
        <f t="shared" si="16"/>
        <v>11590075</v>
      </c>
      <c r="J146" s="114">
        <f t="shared" si="16"/>
        <v>14293821</v>
      </c>
      <c r="M146" s="91"/>
    </row>
    <row r="147" spans="2:13" ht="15.4" thickTop="1" x14ac:dyDescent="0.4">
      <c r="B147" s="28"/>
      <c r="D147" s="68"/>
      <c r="E147" s="68"/>
      <c r="F147" s="68"/>
      <c r="G147"/>
      <c r="H147"/>
      <c r="I147"/>
      <c r="J147"/>
      <c r="M147" s="91"/>
    </row>
    <row r="148" spans="2:13" x14ac:dyDescent="0.4">
      <c r="B148" s="28"/>
      <c r="C148" t="s">
        <v>48</v>
      </c>
      <c r="D148" s="68">
        <v>160000</v>
      </c>
      <c r="E148" t="s">
        <v>125</v>
      </c>
      <c r="F148" s="68">
        <f>E146</f>
        <v>84</v>
      </c>
      <c r="G148" s="68">
        <f>G146</f>
        <v>9335700</v>
      </c>
      <c r="H148" s="93">
        <v>1018.89</v>
      </c>
      <c r="I148" t="s">
        <v>145</v>
      </c>
      <c r="J148" s="93">
        <f>ROUND(F148*H148,2)</f>
        <v>85586.76</v>
      </c>
      <c r="M148" s="91"/>
    </row>
    <row r="149" spans="2:13" x14ac:dyDescent="0.4">
      <c r="B149" s="28"/>
      <c r="C149" t="s">
        <v>49</v>
      </c>
      <c r="D149" s="68">
        <v>40000</v>
      </c>
      <c r="E149" t="s">
        <v>125</v>
      </c>
      <c r="F149" s="68"/>
      <c r="G149" s="68">
        <f>H146</f>
        <v>1657600</v>
      </c>
      <c r="H149" s="115">
        <v>5.7800000000000004E-3</v>
      </c>
      <c r="I149" t="s">
        <v>144</v>
      </c>
      <c r="J149" s="59">
        <f t="shared" ref="J149:J151" si="17">ROUND(G149*H149,2)</f>
        <v>9580.93</v>
      </c>
      <c r="M149" s="91"/>
    </row>
    <row r="150" spans="2:13" x14ac:dyDescent="0.4">
      <c r="B150" s="28"/>
      <c r="C150" t="s">
        <v>49</v>
      </c>
      <c r="D150" s="68">
        <v>400000</v>
      </c>
      <c r="E150" t="s">
        <v>125</v>
      </c>
      <c r="F150" s="68"/>
      <c r="G150" s="68">
        <f>I146</f>
        <v>11590075</v>
      </c>
      <c r="H150" s="115">
        <v>5.4099999999999999E-3</v>
      </c>
      <c r="I150" t="s">
        <v>144</v>
      </c>
      <c r="J150" s="59">
        <f t="shared" si="17"/>
        <v>62702.31</v>
      </c>
      <c r="M150" s="91"/>
    </row>
    <row r="151" spans="2:13" x14ac:dyDescent="0.4">
      <c r="B151" s="28"/>
      <c r="C151" t="s">
        <v>76</v>
      </c>
      <c r="D151" s="68">
        <v>600000</v>
      </c>
      <c r="E151" t="s">
        <v>125</v>
      </c>
      <c r="F151" s="68"/>
      <c r="G151" s="68">
        <f>J146</f>
        <v>14293821</v>
      </c>
      <c r="H151" s="115">
        <v>4.0099999999999997E-3</v>
      </c>
      <c r="I151" t="s">
        <v>144</v>
      </c>
      <c r="J151" s="81">
        <f t="shared" si="17"/>
        <v>57318.22</v>
      </c>
      <c r="M151" s="91"/>
    </row>
    <row r="152" spans="2:13" ht="15.4" thickBot="1" x14ac:dyDescent="0.45">
      <c r="B152" s="28"/>
      <c r="C152" t="s">
        <v>241</v>
      </c>
      <c r="D152" s="68"/>
      <c r="E152"/>
      <c r="F152" s="114">
        <f>SUM(F148:F151)</f>
        <v>84</v>
      </c>
      <c r="G152" s="114">
        <f>SUM(G148:G151)</f>
        <v>36877196</v>
      </c>
      <c r="H152"/>
      <c r="I152"/>
      <c r="J152" s="446">
        <f>SUM(J148:J151)</f>
        <v>215188.22</v>
      </c>
      <c r="M152" s="91"/>
    </row>
    <row r="153" spans="2:13" ht="15.4" thickTop="1" x14ac:dyDescent="0.4">
      <c r="B153" s="28"/>
      <c r="M153" s="91"/>
    </row>
    <row r="154" spans="2:13" x14ac:dyDescent="0.4">
      <c r="B154" s="28"/>
      <c r="C154" t="s">
        <v>247</v>
      </c>
      <c r="M154" s="91"/>
    </row>
    <row r="155" spans="2:13" ht="15.75" x14ac:dyDescent="0.5">
      <c r="B155" s="28"/>
      <c r="C155" s="245" t="s">
        <v>400</v>
      </c>
      <c r="D155" s="246"/>
      <c r="E155" s="245"/>
      <c r="F155" s="246"/>
      <c r="G155" s="246"/>
      <c r="H155" s="246"/>
      <c r="I155" s="246"/>
      <c r="J155" s="246"/>
      <c r="M155" s="91"/>
    </row>
    <row r="156" spans="2:13" ht="15.75" x14ac:dyDescent="0.5">
      <c r="B156" s="28"/>
      <c r="C156" s="245"/>
      <c r="D156" s="246"/>
      <c r="E156" s="245"/>
      <c r="F156" s="246">
        <v>123</v>
      </c>
      <c r="G156" s="246"/>
      <c r="H156" s="247">
        <v>142.96</v>
      </c>
      <c r="I156" s="245" t="s">
        <v>145</v>
      </c>
      <c r="J156" s="243">
        <f>ROUND(F156*H156,2)</f>
        <v>17584.080000000002</v>
      </c>
      <c r="M156" s="91"/>
    </row>
    <row r="157" spans="2:13" ht="15.75" x14ac:dyDescent="0.5">
      <c r="B157" s="28"/>
      <c r="C157" s="245" t="s">
        <v>241</v>
      </c>
      <c r="D157" s="246"/>
      <c r="E157" s="245"/>
      <c r="F157" s="246">
        <v>123</v>
      </c>
      <c r="G157" s="246"/>
      <c r="H157" s="245"/>
      <c r="I157" s="245"/>
      <c r="J157" s="59">
        <f>SUM(J156:J156)</f>
        <v>17584.080000000002</v>
      </c>
      <c r="M157" s="91"/>
    </row>
    <row r="158" spans="2:13" ht="15.75" x14ac:dyDescent="0.5">
      <c r="B158" s="28"/>
      <c r="C158" s="245" t="s">
        <v>237</v>
      </c>
      <c r="D158" s="246"/>
      <c r="E158" s="245"/>
      <c r="F158" s="248"/>
      <c r="G158" s="245"/>
      <c r="H158" s="245"/>
      <c r="I158" s="245"/>
      <c r="J158" s="59">
        <v>-571.84</v>
      </c>
      <c r="M158" s="91"/>
    </row>
    <row r="159" spans="2:13" ht="15.75" x14ac:dyDescent="0.5">
      <c r="B159" s="28"/>
      <c r="C159" s="245" t="s">
        <v>238</v>
      </c>
      <c r="D159" s="246"/>
      <c r="E159" s="245"/>
      <c r="F159" s="248"/>
      <c r="G159" s="245"/>
      <c r="H159" s="245"/>
      <c r="I159" s="245"/>
      <c r="J159" s="243"/>
      <c r="M159" s="91"/>
    </row>
    <row r="160" spans="2:13" ht="16.149999999999999" thickBot="1" x14ac:dyDescent="0.55000000000000004">
      <c r="B160" s="28"/>
      <c r="C160" s="245" t="s">
        <v>401</v>
      </c>
      <c r="D160" s="245"/>
      <c r="E160" s="245"/>
      <c r="F160" s="245"/>
      <c r="G160" s="245"/>
      <c r="H160" s="245"/>
      <c r="I160" s="245"/>
      <c r="J160" s="446">
        <f>SUM(J157:J159)</f>
        <v>17012.240000000002</v>
      </c>
      <c r="M160" s="91"/>
    </row>
    <row r="161" spans="2:13" ht="15.4" thickTop="1" x14ac:dyDescent="0.4">
      <c r="B161" s="28"/>
      <c r="M161" s="91"/>
    </row>
    <row r="162" spans="2:13" x14ac:dyDescent="0.4">
      <c r="B162" s="28"/>
      <c r="C162" t="s">
        <v>247</v>
      </c>
      <c r="M162" s="91"/>
    </row>
    <row r="163" spans="2:13" ht="15.75" x14ac:dyDescent="0.5">
      <c r="B163" s="28"/>
      <c r="C163" s="245" t="s">
        <v>400</v>
      </c>
      <c r="D163" s="246"/>
      <c r="E163" s="245"/>
      <c r="F163" s="246"/>
      <c r="G163" s="246"/>
      <c r="H163" s="246"/>
      <c r="I163" s="246"/>
      <c r="J163" s="246"/>
      <c r="M163" s="91"/>
    </row>
    <row r="164" spans="2:13" ht="15.75" x14ac:dyDescent="0.5">
      <c r="B164" s="28"/>
      <c r="C164" s="245"/>
      <c r="D164" s="246"/>
      <c r="E164" s="245"/>
      <c r="F164" s="246">
        <v>69</v>
      </c>
      <c r="G164" s="246"/>
      <c r="H164" s="247">
        <f>CurRates!G75</f>
        <v>355.58</v>
      </c>
      <c r="I164" s="245" t="s">
        <v>145</v>
      </c>
      <c r="J164" s="243">
        <f>ROUND(F164*H164,2)</f>
        <v>24535.02</v>
      </c>
      <c r="M164" s="91"/>
    </row>
    <row r="165" spans="2:13" ht="15.75" x14ac:dyDescent="0.5">
      <c r="B165" s="28"/>
      <c r="C165" s="245" t="s">
        <v>241</v>
      </c>
      <c r="D165" s="246"/>
      <c r="E165" s="245"/>
      <c r="F165" s="246">
        <v>69</v>
      </c>
      <c r="G165" s="246"/>
      <c r="H165" s="245"/>
      <c r="I165" s="245"/>
      <c r="J165" s="59">
        <f>SUM(J164:J164)</f>
        <v>24535.02</v>
      </c>
      <c r="M165" s="91"/>
    </row>
    <row r="166" spans="2:13" ht="15.75" x14ac:dyDescent="0.5">
      <c r="B166" s="28"/>
      <c r="C166" s="245" t="s">
        <v>237</v>
      </c>
      <c r="D166" s="246"/>
      <c r="E166" s="245"/>
      <c r="F166" s="248"/>
      <c r="G166" s="245"/>
      <c r="H166" s="245"/>
      <c r="I166" s="245"/>
      <c r="J166" s="59">
        <v>0</v>
      </c>
      <c r="M166" s="91"/>
    </row>
    <row r="167" spans="2:13" ht="15.75" x14ac:dyDescent="0.5">
      <c r="B167" s="28"/>
      <c r="C167" s="245" t="s">
        <v>238</v>
      </c>
      <c r="D167" s="246"/>
      <c r="E167" s="245"/>
      <c r="F167" s="248"/>
      <c r="G167" s="245"/>
      <c r="H167" s="245"/>
      <c r="I167" s="245"/>
      <c r="J167" s="243">
        <v>0</v>
      </c>
      <c r="M167" s="91"/>
    </row>
    <row r="168" spans="2:13" ht="16.149999999999999" thickBot="1" x14ac:dyDescent="0.55000000000000004">
      <c r="B168" s="28"/>
      <c r="C168" s="245" t="s">
        <v>401</v>
      </c>
      <c r="D168" s="245"/>
      <c r="E168" s="245"/>
      <c r="F168" s="245"/>
      <c r="G168" s="245"/>
      <c r="H168" s="245"/>
      <c r="I168" s="245"/>
      <c r="J168" s="446">
        <f>SUM(J165:J167)</f>
        <v>24535.02</v>
      </c>
      <c r="M168" s="91"/>
    </row>
    <row r="169" spans="2:13" ht="15.4" thickTop="1" x14ac:dyDescent="0.4">
      <c r="B169" s="97"/>
      <c r="C169" s="57"/>
      <c r="D169" s="57"/>
      <c r="E169" s="81"/>
      <c r="F169" s="81"/>
      <c r="G169" s="81"/>
      <c r="H169" s="81"/>
      <c r="I169" s="81"/>
      <c r="J169" s="81"/>
      <c r="K169" s="81"/>
      <c r="L169" s="81"/>
      <c r="M169" s="98"/>
    </row>
  </sheetData>
  <mergeCells count="3">
    <mergeCell ref="C2:L2"/>
    <mergeCell ref="C3:L3"/>
    <mergeCell ref="C80:L8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T81"/>
  <sheetViews>
    <sheetView zoomScale="136" zoomScaleNormal="136" workbookViewId="0">
      <selection activeCell="C5" sqref="C5:M5"/>
    </sheetView>
  </sheetViews>
  <sheetFormatPr defaultColWidth="10.77734375" defaultRowHeight="15.75" x14ac:dyDescent="0.5"/>
  <cols>
    <col min="1" max="1" width="10.77734375" style="7"/>
    <col min="2" max="2" width="1.77734375" style="7" customWidth="1"/>
    <col min="3" max="5" width="10.77734375" style="7"/>
    <col min="6" max="6" width="10.77734375" style="21"/>
    <col min="7" max="7" width="10.77734375" style="7"/>
    <col min="8" max="8" width="1.77734375" style="7" customWidth="1"/>
    <col min="9" max="11" width="10.77734375" style="7"/>
    <col min="12" max="12" width="10.77734375" style="21"/>
    <col min="13" max="13" width="10.77734375" style="7"/>
    <col min="14" max="14" width="1.77734375" style="7" customWidth="1"/>
    <col min="15" max="16384" width="10.77734375" style="7"/>
  </cols>
  <sheetData>
    <row r="2" spans="2:18" x14ac:dyDescent="0.5">
      <c r="B2" s="14"/>
      <c r="C2" s="71"/>
      <c r="D2" s="71"/>
      <c r="E2" s="71"/>
      <c r="F2" s="72"/>
      <c r="G2" s="71"/>
      <c r="H2" s="71"/>
      <c r="I2" s="71"/>
      <c r="J2" s="71"/>
      <c r="K2" s="71"/>
      <c r="L2" s="72"/>
      <c r="M2" s="73"/>
    </row>
    <row r="3" spans="2:18" ht="23.25" x14ac:dyDescent="0.7">
      <c r="B3" s="13"/>
      <c r="C3" s="512" t="s">
        <v>70</v>
      </c>
      <c r="D3" s="512"/>
      <c r="E3" s="512"/>
      <c r="F3" s="512"/>
      <c r="G3" s="512"/>
      <c r="H3" s="512"/>
      <c r="I3" s="512"/>
      <c r="J3" s="512"/>
      <c r="K3" s="512"/>
      <c r="L3" s="512"/>
      <c r="M3" s="513"/>
    </row>
    <row r="4" spans="2:18" ht="23.25" x14ac:dyDescent="0.7">
      <c r="B4" s="13"/>
      <c r="C4" s="512" t="s">
        <v>50</v>
      </c>
      <c r="D4" s="512"/>
      <c r="E4" s="512"/>
      <c r="F4" s="512"/>
      <c r="G4" s="512"/>
      <c r="H4" s="512"/>
      <c r="I4" s="512"/>
      <c r="J4" s="512"/>
      <c r="K4" s="512"/>
      <c r="L4" s="512"/>
      <c r="M4" s="513"/>
    </row>
    <row r="5" spans="2:18" ht="23.25" x14ac:dyDescent="0.5">
      <c r="B5" s="13"/>
      <c r="C5" s="514" t="s">
        <v>478</v>
      </c>
      <c r="D5" s="514"/>
      <c r="E5" s="514"/>
      <c r="F5" s="514"/>
      <c r="G5" s="514"/>
      <c r="H5" s="514"/>
      <c r="I5" s="514"/>
      <c r="J5" s="514"/>
      <c r="K5" s="514"/>
      <c r="L5" s="514"/>
      <c r="M5" s="515"/>
      <c r="N5" s="67"/>
      <c r="O5" s="67"/>
      <c r="P5" s="67"/>
      <c r="Q5" s="67"/>
    </row>
    <row r="6" spans="2:18" x14ac:dyDescent="0.5">
      <c r="B6" s="13"/>
      <c r="M6" s="74"/>
    </row>
    <row r="7" spans="2:18" x14ac:dyDescent="0.5">
      <c r="B7" s="14"/>
      <c r="C7" s="71"/>
      <c r="D7" s="71"/>
      <c r="E7" s="71"/>
      <c r="F7" s="72"/>
      <c r="G7" s="73"/>
      <c r="H7" s="14"/>
      <c r="I7" s="71"/>
      <c r="J7" s="71"/>
      <c r="K7" s="71"/>
      <c r="L7" s="72"/>
      <c r="M7" s="73"/>
    </row>
    <row r="8" spans="2:18" x14ac:dyDescent="0.5">
      <c r="B8" s="13"/>
      <c r="C8" s="510" t="s">
        <v>100</v>
      </c>
      <c r="D8" s="510"/>
      <c r="E8" s="510"/>
      <c r="F8" s="510"/>
      <c r="G8" s="511"/>
      <c r="H8" s="13"/>
      <c r="I8" s="510" t="s">
        <v>74</v>
      </c>
      <c r="J8" s="510"/>
      <c r="K8" s="510"/>
      <c r="L8" s="510"/>
      <c r="M8" s="511"/>
      <c r="O8" s="22">
        <f>'SAO - DSC'!L63</f>
        <v>5.8099999999999999E-2</v>
      </c>
      <c r="P8" s="23" t="s">
        <v>75</v>
      </c>
    </row>
    <row r="9" spans="2:18" x14ac:dyDescent="0.5">
      <c r="B9" s="13"/>
      <c r="G9" s="74"/>
      <c r="H9" s="13"/>
      <c r="M9" s="74"/>
    </row>
    <row r="10" spans="2:18" x14ac:dyDescent="0.5">
      <c r="B10" s="13"/>
      <c r="C10" s="40" t="s">
        <v>229</v>
      </c>
      <c r="D10" s="60"/>
      <c r="E10" s="40"/>
      <c r="F10" s="219"/>
      <c r="G10" s="220"/>
      <c r="H10" s="13"/>
      <c r="I10" s="40" t="s">
        <v>229</v>
      </c>
      <c r="J10" s="60"/>
      <c r="K10" s="40"/>
      <c r="L10" s="219"/>
      <c r="M10" s="220"/>
    </row>
    <row r="11" spans="2:18" x14ac:dyDescent="0.5">
      <c r="B11" s="13"/>
      <c r="C11" s="40" t="s">
        <v>48</v>
      </c>
      <c r="D11" s="60">
        <v>2000</v>
      </c>
      <c r="E11" s="40" t="s">
        <v>125</v>
      </c>
      <c r="F11" s="221">
        <v>17.84</v>
      </c>
      <c r="G11" s="220" t="s">
        <v>145</v>
      </c>
      <c r="H11" s="13"/>
      <c r="I11" s="40" t="s">
        <v>48</v>
      </c>
      <c r="J11" s="60">
        <v>2000</v>
      </c>
      <c r="K11" s="40" t="s">
        <v>125</v>
      </c>
      <c r="L11" s="221">
        <f>R11</f>
        <v>18.88</v>
      </c>
      <c r="M11" s="220" t="s">
        <v>145</v>
      </c>
      <c r="O11" s="226">
        <f>F11</f>
        <v>17.84</v>
      </c>
      <c r="P11" s="226">
        <f>ROUND(O$8*O11,2)</f>
        <v>1.04</v>
      </c>
      <c r="Q11" s="227">
        <v>0</v>
      </c>
      <c r="R11" s="226">
        <f>SUM(O11:Q11)</f>
        <v>18.88</v>
      </c>
    </row>
    <row r="12" spans="2:18" x14ac:dyDescent="0.5">
      <c r="B12" s="13"/>
      <c r="C12" s="40" t="s">
        <v>49</v>
      </c>
      <c r="D12" s="60">
        <v>8000</v>
      </c>
      <c r="E12" s="40" t="s">
        <v>125</v>
      </c>
      <c r="F12" s="222">
        <v>6.45E-3</v>
      </c>
      <c r="G12" s="220" t="s">
        <v>144</v>
      </c>
      <c r="H12" s="13"/>
      <c r="I12" s="40" t="s">
        <v>49</v>
      </c>
      <c r="J12" s="60">
        <v>8000</v>
      </c>
      <c r="K12" s="40" t="s">
        <v>125</v>
      </c>
      <c r="L12" s="222">
        <f>R12</f>
        <v>6.8199999999999997E-3</v>
      </c>
      <c r="M12" s="220" t="s">
        <v>144</v>
      </c>
      <c r="O12" s="227">
        <f t="shared" ref="O12" si="0">F12</f>
        <v>6.45E-3</v>
      </c>
      <c r="P12" s="227">
        <f>ROUND(O$8*O12,5)</f>
        <v>3.6999999999999999E-4</v>
      </c>
      <c r="Q12" s="227">
        <v>0</v>
      </c>
      <c r="R12" s="227">
        <f>SUM(O12:Q12)</f>
        <v>6.8199999999999997E-3</v>
      </c>
    </row>
    <row r="13" spans="2:18" x14ac:dyDescent="0.5">
      <c r="B13" s="13"/>
      <c r="C13" s="40" t="s">
        <v>49</v>
      </c>
      <c r="D13" s="60">
        <v>190000</v>
      </c>
      <c r="E13" s="40" t="s">
        <v>125</v>
      </c>
      <c r="F13" s="222">
        <v>5.7800000000000004E-3</v>
      </c>
      <c r="G13" s="220" t="s">
        <v>144</v>
      </c>
      <c r="H13" s="13"/>
      <c r="I13" s="40" t="s">
        <v>49</v>
      </c>
      <c r="J13" s="60">
        <v>190000</v>
      </c>
      <c r="K13" s="40" t="s">
        <v>125</v>
      </c>
      <c r="L13" s="222">
        <f t="shared" ref="L13:L15" si="1">R13</f>
        <v>6.1200000000000004E-3</v>
      </c>
      <c r="M13" s="220" t="s">
        <v>144</v>
      </c>
      <c r="O13" s="227">
        <f t="shared" ref="O13:O15" si="2">F13</f>
        <v>5.7800000000000004E-3</v>
      </c>
      <c r="P13" s="227">
        <f t="shared" ref="P13:P15" si="3">ROUND(O$8*O13,5)</f>
        <v>3.4000000000000002E-4</v>
      </c>
      <c r="Q13" s="227">
        <f>Q12</f>
        <v>0</v>
      </c>
      <c r="R13" s="227">
        <f t="shared" ref="R13:R15" si="4">SUM(O13:Q13)</f>
        <v>6.1200000000000004E-3</v>
      </c>
    </row>
    <row r="14" spans="2:18" x14ac:dyDescent="0.5">
      <c r="B14" s="13"/>
      <c r="C14" s="40" t="s">
        <v>49</v>
      </c>
      <c r="D14" s="60">
        <v>400000</v>
      </c>
      <c r="E14" s="40" t="s">
        <v>125</v>
      </c>
      <c r="F14" s="222">
        <v>5.4099999999999999E-3</v>
      </c>
      <c r="G14" s="220" t="s">
        <v>144</v>
      </c>
      <c r="H14" s="13"/>
      <c r="I14" s="40" t="s">
        <v>49</v>
      </c>
      <c r="J14" s="60">
        <v>400000</v>
      </c>
      <c r="K14" s="40" t="s">
        <v>125</v>
      </c>
      <c r="L14" s="222">
        <f t="shared" si="1"/>
        <v>5.7200000000000003E-3</v>
      </c>
      <c r="M14" s="220" t="s">
        <v>144</v>
      </c>
      <c r="O14" s="227">
        <f t="shared" si="2"/>
        <v>5.4099999999999999E-3</v>
      </c>
      <c r="P14" s="227">
        <f t="shared" si="3"/>
        <v>3.1E-4</v>
      </c>
      <c r="Q14" s="227">
        <v>0</v>
      </c>
      <c r="R14" s="227">
        <f t="shared" si="4"/>
        <v>5.7200000000000003E-3</v>
      </c>
    </row>
    <row r="15" spans="2:18" x14ac:dyDescent="0.5">
      <c r="B15" s="13"/>
      <c r="C15" s="40" t="s">
        <v>76</v>
      </c>
      <c r="D15" s="60">
        <f>SUM(D11:D14)</f>
        <v>600000</v>
      </c>
      <c r="E15" s="40" t="s">
        <v>125</v>
      </c>
      <c r="F15" s="222">
        <v>4.0099999999999997E-3</v>
      </c>
      <c r="G15" s="220" t="s">
        <v>144</v>
      </c>
      <c r="H15" s="13"/>
      <c r="I15" s="40" t="s">
        <v>76</v>
      </c>
      <c r="J15" s="60">
        <f>SUM(J11:J14)</f>
        <v>600000</v>
      </c>
      <c r="K15" s="40" t="s">
        <v>125</v>
      </c>
      <c r="L15" s="222">
        <f t="shared" si="1"/>
        <v>4.2399999999999998E-3</v>
      </c>
      <c r="M15" s="220" t="s">
        <v>144</v>
      </c>
      <c r="O15" s="227">
        <f t="shared" si="2"/>
        <v>4.0099999999999997E-3</v>
      </c>
      <c r="P15" s="227">
        <f t="shared" si="3"/>
        <v>2.3000000000000001E-4</v>
      </c>
      <c r="Q15" s="227">
        <v>0</v>
      </c>
      <c r="R15" s="227">
        <f t="shared" si="4"/>
        <v>4.2399999999999998E-3</v>
      </c>
    </row>
    <row r="16" spans="2:18" x14ac:dyDescent="0.5">
      <c r="B16" s="13"/>
      <c r="C16" s="40"/>
      <c r="D16" s="60"/>
      <c r="E16" s="40"/>
      <c r="F16" s="222"/>
      <c r="G16" s="220"/>
      <c r="H16" s="13"/>
      <c r="I16" s="40"/>
      <c r="J16" s="60"/>
      <c r="K16" s="40"/>
      <c r="L16" s="222"/>
      <c r="M16" s="220"/>
      <c r="Q16" s="80">
        <f>ROUND(O8*F16,5)</f>
        <v>0</v>
      </c>
    </row>
    <row r="17" spans="2:20" x14ac:dyDescent="0.5">
      <c r="B17" s="13"/>
      <c r="C17" s="40" t="s">
        <v>346</v>
      </c>
      <c r="D17" s="60"/>
      <c r="E17" s="40"/>
      <c r="F17" s="40"/>
      <c r="G17" s="220"/>
      <c r="H17" s="13"/>
      <c r="I17" s="40" t="s">
        <v>346</v>
      </c>
      <c r="J17" s="60"/>
      <c r="K17" s="40"/>
      <c r="L17" s="40"/>
      <c r="M17" s="220"/>
    </row>
    <row r="18" spans="2:20" x14ac:dyDescent="0.5">
      <c r="B18" s="13"/>
      <c r="C18" s="40" t="s">
        <v>48</v>
      </c>
      <c r="D18" s="60">
        <v>3000</v>
      </c>
      <c r="E18" s="40" t="s">
        <v>125</v>
      </c>
      <c r="F18" s="221">
        <v>24.85</v>
      </c>
      <c r="G18" s="220" t="s">
        <v>145</v>
      </c>
      <c r="H18" s="13"/>
      <c r="I18" s="40" t="s">
        <v>48</v>
      </c>
      <c r="J18" s="60">
        <v>3000</v>
      </c>
      <c r="K18" s="40" t="s">
        <v>125</v>
      </c>
      <c r="L18" s="221">
        <f>R18</f>
        <v>26.290000000000003</v>
      </c>
      <c r="M18" s="220" t="s">
        <v>145</v>
      </c>
      <c r="O18" s="226">
        <f>F18</f>
        <v>24.85</v>
      </c>
      <c r="P18" s="226">
        <f>ROUND(O$8*O18,2)</f>
        <v>1.44</v>
      </c>
      <c r="Q18" s="227">
        <v>0</v>
      </c>
      <c r="R18" s="226">
        <f>SUM(O18:Q18)</f>
        <v>26.290000000000003</v>
      </c>
    </row>
    <row r="19" spans="2:20" x14ac:dyDescent="0.5">
      <c r="B19" s="13"/>
      <c r="C19" s="40" t="s">
        <v>49</v>
      </c>
      <c r="D19" s="60">
        <v>7000</v>
      </c>
      <c r="E19" s="40" t="s">
        <v>125</v>
      </c>
      <c r="F19" s="222">
        <f>F12</f>
        <v>6.45E-3</v>
      </c>
      <c r="G19" s="220" t="s">
        <v>144</v>
      </c>
      <c r="H19" s="13"/>
      <c r="I19" s="40" t="s">
        <v>49</v>
      </c>
      <c r="J19" s="60">
        <v>7000</v>
      </c>
      <c r="K19" s="40" t="s">
        <v>125</v>
      </c>
      <c r="L19" s="222">
        <f>R19</f>
        <v>6.8199999999999997E-3</v>
      </c>
      <c r="M19" s="220" t="s">
        <v>144</v>
      </c>
      <c r="O19" s="227">
        <f t="shared" ref="O19" si="5">F19</f>
        <v>6.45E-3</v>
      </c>
      <c r="P19" s="227">
        <f>ROUND(O$8*O19,5)</f>
        <v>3.6999999999999999E-4</v>
      </c>
      <c r="Q19" s="227">
        <f>Q12</f>
        <v>0</v>
      </c>
      <c r="R19" s="227">
        <f>SUM(O19:Q19)</f>
        <v>6.8199999999999997E-3</v>
      </c>
      <c r="S19" s="78"/>
      <c r="T19" s="78"/>
    </row>
    <row r="20" spans="2:20" x14ac:dyDescent="0.5">
      <c r="B20" s="13"/>
      <c r="C20" s="40" t="s">
        <v>49</v>
      </c>
      <c r="D20" s="60">
        <v>190000</v>
      </c>
      <c r="E20" s="40" t="s">
        <v>125</v>
      </c>
      <c r="F20" s="222">
        <f t="shared" ref="F20:F22" si="6">F13</f>
        <v>5.7800000000000004E-3</v>
      </c>
      <c r="G20" s="220" t="s">
        <v>144</v>
      </c>
      <c r="H20" s="13"/>
      <c r="I20" s="40" t="s">
        <v>49</v>
      </c>
      <c r="J20" s="60">
        <v>190000</v>
      </c>
      <c r="K20" s="40" t="s">
        <v>125</v>
      </c>
      <c r="L20" s="222">
        <f t="shared" ref="L20:L22" si="7">R20</f>
        <v>6.1200000000000004E-3</v>
      </c>
      <c r="M20" s="220" t="s">
        <v>144</v>
      </c>
      <c r="O20" s="227">
        <f t="shared" ref="O20:O22" si="8">F20</f>
        <v>5.7800000000000004E-3</v>
      </c>
      <c r="P20" s="227">
        <f t="shared" ref="P20:P22" si="9">ROUND(O$8*O20,5)</f>
        <v>3.4000000000000002E-4</v>
      </c>
      <c r="Q20" s="227">
        <f>Q19</f>
        <v>0</v>
      </c>
      <c r="R20" s="227">
        <f t="shared" ref="R20:R22" si="10">SUM(O20:Q20)</f>
        <v>6.1200000000000004E-3</v>
      </c>
      <c r="S20" s="24"/>
      <c r="T20" s="79"/>
    </row>
    <row r="21" spans="2:20" x14ac:dyDescent="0.5">
      <c r="B21" s="13"/>
      <c r="C21" s="40" t="s">
        <v>49</v>
      </c>
      <c r="D21" s="60">
        <v>400000</v>
      </c>
      <c r="E21" s="40" t="s">
        <v>125</v>
      </c>
      <c r="F21" s="222">
        <f t="shared" si="6"/>
        <v>5.4099999999999999E-3</v>
      </c>
      <c r="G21" s="220" t="s">
        <v>144</v>
      </c>
      <c r="H21" s="13"/>
      <c r="I21" s="40" t="s">
        <v>49</v>
      </c>
      <c r="J21" s="60">
        <v>400000</v>
      </c>
      <c r="K21" s="40" t="s">
        <v>125</v>
      </c>
      <c r="L21" s="222">
        <f t="shared" si="7"/>
        <v>5.7200000000000003E-3</v>
      </c>
      <c r="M21" s="220" t="s">
        <v>144</v>
      </c>
      <c r="O21" s="227">
        <f t="shared" si="8"/>
        <v>5.4099999999999999E-3</v>
      </c>
      <c r="P21" s="227">
        <f t="shared" si="9"/>
        <v>3.1E-4</v>
      </c>
      <c r="Q21" s="227">
        <f>Q14</f>
        <v>0</v>
      </c>
      <c r="R21" s="227">
        <f t="shared" si="10"/>
        <v>5.7200000000000003E-3</v>
      </c>
      <c r="S21" s="25"/>
      <c r="T21" s="79"/>
    </row>
    <row r="22" spans="2:20" x14ac:dyDescent="0.5">
      <c r="B22" s="13"/>
      <c r="C22" s="40" t="s">
        <v>76</v>
      </c>
      <c r="D22" s="60">
        <f>SUM(D18:D21)</f>
        <v>600000</v>
      </c>
      <c r="E22" s="40" t="s">
        <v>125</v>
      </c>
      <c r="F22" s="222">
        <f t="shared" si="6"/>
        <v>4.0099999999999997E-3</v>
      </c>
      <c r="G22" s="220" t="s">
        <v>144</v>
      </c>
      <c r="H22" s="13"/>
      <c r="I22" s="40" t="s">
        <v>76</v>
      </c>
      <c r="J22" s="60">
        <f>SUM(J18:J21)</f>
        <v>600000</v>
      </c>
      <c r="K22" s="40" t="s">
        <v>125</v>
      </c>
      <c r="L22" s="222">
        <f t="shared" si="7"/>
        <v>4.2399999999999998E-3</v>
      </c>
      <c r="M22" s="220" t="s">
        <v>144</v>
      </c>
      <c r="O22" s="227">
        <f t="shared" si="8"/>
        <v>4.0099999999999997E-3</v>
      </c>
      <c r="P22" s="227">
        <f t="shared" si="9"/>
        <v>2.3000000000000001E-4</v>
      </c>
      <c r="Q22" s="227">
        <f>Q15</f>
        <v>0</v>
      </c>
      <c r="R22" s="227">
        <f t="shared" si="10"/>
        <v>4.2399999999999998E-3</v>
      </c>
      <c r="S22" s="25"/>
      <c r="T22" s="79"/>
    </row>
    <row r="23" spans="2:20" x14ac:dyDescent="0.5">
      <c r="B23" s="13"/>
      <c r="C23" s="40"/>
      <c r="D23" s="60"/>
      <c r="E23" s="40"/>
      <c r="F23" s="222"/>
      <c r="G23" s="220"/>
      <c r="H23" s="13"/>
      <c r="I23" s="40"/>
      <c r="J23" s="60"/>
      <c r="K23" s="40"/>
      <c r="L23" s="222"/>
      <c r="M23" s="220"/>
      <c r="N23" s="26"/>
      <c r="O23" s="26"/>
      <c r="P23" s="26"/>
      <c r="R23" s="25"/>
      <c r="S23" s="25"/>
      <c r="T23" s="79"/>
    </row>
    <row r="24" spans="2:20" x14ac:dyDescent="0.5">
      <c r="B24" s="13"/>
      <c r="C24" s="40" t="s">
        <v>230</v>
      </c>
      <c r="D24" s="60"/>
      <c r="E24" s="40"/>
      <c r="F24" s="40"/>
      <c r="G24" s="220"/>
      <c r="H24" s="13"/>
      <c r="I24" s="40" t="s">
        <v>230</v>
      </c>
      <c r="J24" s="60"/>
      <c r="K24" s="40"/>
      <c r="L24" s="40"/>
      <c r="M24" s="220"/>
    </row>
    <row r="25" spans="2:20" x14ac:dyDescent="0.5">
      <c r="B25" s="13"/>
      <c r="C25" s="40" t="s">
        <v>48</v>
      </c>
      <c r="D25" s="60">
        <v>5000</v>
      </c>
      <c r="E25" s="40" t="s">
        <v>125</v>
      </c>
      <c r="F25" s="221">
        <v>38.29</v>
      </c>
      <c r="G25" s="220" t="s">
        <v>145</v>
      </c>
      <c r="H25" s="13"/>
      <c r="I25" s="40" t="s">
        <v>48</v>
      </c>
      <c r="J25" s="60">
        <v>5000</v>
      </c>
      <c r="K25" s="40" t="s">
        <v>125</v>
      </c>
      <c r="L25" s="221">
        <f>R25</f>
        <v>40.51</v>
      </c>
      <c r="M25" s="220" t="s">
        <v>145</v>
      </c>
      <c r="O25" s="226">
        <f>F25</f>
        <v>38.29</v>
      </c>
      <c r="P25" s="226">
        <f>ROUND(O$8*O25,2)</f>
        <v>2.2200000000000002</v>
      </c>
      <c r="Q25" s="227">
        <v>0</v>
      </c>
      <c r="R25" s="226">
        <f>SUM(O25:Q25)</f>
        <v>40.51</v>
      </c>
    </row>
    <row r="26" spans="2:20" x14ac:dyDescent="0.5">
      <c r="B26" s="13"/>
      <c r="C26" s="40" t="s">
        <v>49</v>
      </c>
      <c r="D26" s="60">
        <v>5000</v>
      </c>
      <c r="E26" s="40" t="s">
        <v>125</v>
      </c>
      <c r="F26" s="222">
        <f>F19</f>
        <v>6.45E-3</v>
      </c>
      <c r="G26" s="220" t="s">
        <v>144</v>
      </c>
      <c r="H26" s="13"/>
      <c r="I26" s="40" t="s">
        <v>49</v>
      </c>
      <c r="J26" s="60">
        <v>5000</v>
      </c>
      <c r="K26" s="40" t="s">
        <v>125</v>
      </c>
      <c r="L26" s="222">
        <f>R26</f>
        <v>6.8199999999999997E-3</v>
      </c>
      <c r="M26" s="220" t="s">
        <v>144</v>
      </c>
      <c r="O26" s="227">
        <f t="shared" ref="O26" si="11">F26</f>
        <v>6.45E-3</v>
      </c>
      <c r="P26" s="227">
        <f>ROUND(O$8*O26,5)</f>
        <v>3.6999999999999999E-4</v>
      </c>
      <c r="Q26" s="227">
        <v>0</v>
      </c>
      <c r="R26" s="227">
        <f>SUM(O26:Q26)</f>
        <v>6.8199999999999997E-3</v>
      </c>
    </row>
    <row r="27" spans="2:20" x14ac:dyDescent="0.5">
      <c r="B27" s="13"/>
      <c r="C27" s="40" t="s">
        <v>49</v>
      </c>
      <c r="D27" s="60">
        <v>190000</v>
      </c>
      <c r="E27" s="40" t="s">
        <v>125</v>
      </c>
      <c r="F27" s="222">
        <f t="shared" ref="F27:F29" si="12">F20</f>
        <v>5.7800000000000004E-3</v>
      </c>
      <c r="G27" s="220" t="s">
        <v>144</v>
      </c>
      <c r="H27" s="13"/>
      <c r="I27" s="40" t="s">
        <v>49</v>
      </c>
      <c r="J27" s="60">
        <v>190000</v>
      </c>
      <c r="K27" s="40" t="s">
        <v>125</v>
      </c>
      <c r="L27" s="222">
        <f t="shared" ref="L27:L29" si="13">L20</f>
        <v>6.1200000000000004E-3</v>
      </c>
      <c r="M27" s="220" t="s">
        <v>144</v>
      </c>
      <c r="O27" s="227">
        <f t="shared" ref="O27:O30" si="14">F27</f>
        <v>5.7800000000000004E-3</v>
      </c>
      <c r="P27" s="227">
        <f t="shared" ref="P27:P30" si="15">ROUND(O$8*O27,5)</f>
        <v>3.4000000000000002E-4</v>
      </c>
      <c r="Q27" s="227">
        <v>0</v>
      </c>
      <c r="R27" s="227">
        <f t="shared" ref="R27:R30" si="16">SUM(O27:Q27)</f>
        <v>6.1200000000000004E-3</v>
      </c>
    </row>
    <row r="28" spans="2:20" x14ac:dyDescent="0.5">
      <c r="B28" s="13"/>
      <c r="C28" s="40" t="s">
        <v>49</v>
      </c>
      <c r="D28" s="60">
        <v>400000</v>
      </c>
      <c r="E28" s="40" t="s">
        <v>125</v>
      </c>
      <c r="F28" s="222">
        <f t="shared" si="12"/>
        <v>5.4099999999999999E-3</v>
      </c>
      <c r="G28" s="220" t="s">
        <v>144</v>
      </c>
      <c r="H28" s="13"/>
      <c r="I28" s="40" t="s">
        <v>49</v>
      </c>
      <c r="J28" s="60">
        <v>400000</v>
      </c>
      <c r="K28" s="40" t="s">
        <v>125</v>
      </c>
      <c r="L28" s="222">
        <f t="shared" si="13"/>
        <v>5.7200000000000003E-3</v>
      </c>
      <c r="M28" s="220" t="s">
        <v>144</v>
      </c>
      <c r="O28" s="227">
        <f t="shared" si="14"/>
        <v>5.4099999999999999E-3</v>
      </c>
      <c r="P28" s="227">
        <f t="shared" si="15"/>
        <v>3.1E-4</v>
      </c>
      <c r="Q28" s="227">
        <v>0</v>
      </c>
      <c r="R28" s="227">
        <f t="shared" si="16"/>
        <v>5.7200000000000003E-3</v>
      </c>
    </row>
    <row r="29" spans="2:20" x14ac:dyDescent="0.5">
      <c r="B29" s="13"/>
      <c r="C29" s="40" t="s">
        <v>76</v>
      </c>
      <c r="D29" s="60">
        <f>SUM(D25:D28)</f>
        <v>600000</v>
      </c>
      <c r="E29" s="40" t="s">
        <v>125</v>
      </c>
      <c r="F29" s="222">
        <f t="shared" si="12"/>
        <v>4.0099999999999997E-3</v>
      </c>
      <c r="G29" s="220" t="s">
        <v>144</v>
      </c>
      <c r="H29" s="13"/>
      <c r="I29" s="40" t="s">
        <v>76</v>
      </c>
      <c r="J29" s="60">
        <f>SUM(J25:J28)</f>
        <v>600000</v>
      </c>
      <c r="K29" s="40" t="s">
        <v>125</v>
      </c>
      <c r="L29" s="222">
        <f t="shared" si="13"/>
        <v>4.2399999999999998E-3</v>
      </c>
      <c r="M29" s="220" t="s">
        <v>144</v>
      </c>
      <c r="O29" s="227">
        <f t="shared" si="14"/>
        <v>4.0099999999999997E-3</v>
      </c>
      <c r="P29" s="227">
        <f t="shared" si="15"/>
        <v>2.3000000000000001E-4</v>
      </c>
      <c r="Q29" s="227">
        <v>0</v>
      </c>
      <c r="R29" s="227">
        <f t="shared" si="16"/>
        <v>4.2399999999999998E-3</v>
      </c>
    </row>
    <row r="30" spans="2:20" x14ac:dyDescent="0.5">
      <c r="B30" s="13"/>
      <c r="C30" s="40"/>
      <c r="D30" s="60"/>
      <c r="E30" s="40"/>
      <c r="F30" s="222"/>
      <c r="G30" s="220"/>
      <c r="H30" s="13"/>
      <c r="I30" s="40"/>
      <c r="J30" s="60"/>
      <c r="K30" s="40"/>
      <c r="L30" s="222"/>
      <c r="M30" s="220"/>
      <c r="O30" s="227">
        <f t="shared" si="14"/>
        <v>0</v>
      </c>
      <c r="P30" s="227">
        <f t="shared" si="15"/>
        <v>0</v>
      </c>
      <c r="Q30" s="227">
        <v>0</v>
      </c>
      <c r="R30" s="227">
        <f t="shared" si="16"/>
        <v>0</v>
      </c>
    </row>
    <row r="31" spans="2:20" x14ac:dyDescent="0.5">
      <c r="B31" s="13"/>
      <c r="C31" s="40" t="s">
        <v>231</v>
      </c>
      <c r="D31" s="60"/>
      <c r="E31" s="40"/>
      <c r="F31" s="222"/>
      <c r="G31" s="220"/>
      <c r="H31" s="13"/>
      <c r="I31" s="40" t="s">
        <v>231</v>
      </c>
      <c r="J31" s="60"/>
      <c r="K31" s="40"/>
      <c r="L31" s="222"/>
      <c r="M31" s="220"/>
    </row>
    <row r="32" spans="2:20" x14ac:dyDescent="0.5">
      <c r="B32" s="13"/>
      <c r="C32" s="40" t="s">
        <v>48</v>
      </c>
      <c r="D32" s="60">
        <v>10000</v>
      </c>
      <c r="E32" s="40" t="s">
        <v>125</v>
      </c>
      <c r="F32" s="221">
        <v>77.12</v>
      </c>
      <c r="G32" s="220" t="s">
        <v>145</v>
      </c>
      <c r="H32" s="13"/>
      <c r="I32" s="40" t="s">
        <v>48</v>
      </c>
      <c r="J32" s="60">
        <v>10000</v>
      </c>
      <c r="K32" s="40" t="s">
        <v>125</v>
      </c>
      <c r="L32" s="221">
        <f>R32</f>
        <v>81.600000000000009</v>
      </c>
      <c r="M32" s="220" t="s">
        <v>145</v>
      </c>
      <c r="O32" s="226">
        <f>F32</f>
        <v>77.12</v>
      </c>
      <c r="P32" s="226">
        <f>ROUND(O$8*O32,2)</f>
        <v>4.4800000000000004</v>
      </c>
      <c r="Q32" s="227">
        <v>0</v>
      </c>
      <c r="R32" s="226">
        <f>SUM(O32:Q32)</f>
        <v>81.600000000000009</v>
      </c>
    </row>
    <row r="33" spans="2:18" x14ac:dyDescent="0.5">
      <c r="B33" s="13"/>
      <c r="C33" s="40" t="s">
        <v>49</v>
      </c>
      <c r="D33" s="60">
        <v>190000</v>
      </c>
      <c r="E33" s="40" t="s">
        <v>125</v>
      </c>
      <c r="F33" s="222">
        <f>F27</f>
        <v>5.7800000000000004E-3</v>
      </c>
      <c r="G33" s="220" t="s">
        <v>144</v>
      </c>
      <c r="H33" s="13"/>
      <c r="I33" s="40" t="s">
        <v>49</v>
      </c>
      <c r="J33" s="60">
        <v>190000</v>
      </c>
      <c r="K33" s="40" t="s">
        <v>125</v>
      </c>
      <c r="L33" s="222">
        <f>R33</f>
        <v>6.1200000000000004E-3</v>
      </c>
      <c r="M33" s="220" t="s">
        <v>144</v>
      </c>
      <c r="O33" s="227">
        <f t="shared" ref="O33" si="17">F33</f>
        <v>5.7800000000000004E-3</v>
      </c>
      <c r="P33" s="227">
        <f>ROUND(O$8*O33,5)</f>
        <v>3.4000000000000002E-4</v>
      </c>
      <c r="Q33" s="227">
        <v>0</v>
      </c>
      <c r="R33" s="227">
        <f>SUM(O33:Q33)</f>
        <v>6.1200000000000004E-3</v>
      </c>
    </row>
    <row r="34" spans="2:18" x14ac:dyDescent="0.5">
      <c r="B34" s="13"/>
      <c r="C34" s="40" t="s">
        <v>49</v>
      </c>
      <c r="D34" s="60">
        <v>400000</v>
      </c>
      <c r="E34" s="40" t="s">
        <v>125</v>
      </c>
      <c r="F34" s="222">
        <f t="shared" ref="F34:F35" si="18">F28</f>
        <v>5.4099999999999999E-3</v>
      </c>
      <c r="G34" s="220" t="s">
        <v>144</v>
      </c>
      <c r="H34" s="13"/>
      <c r="I34" s="40" t="s">
        <v>49</v>
      </c>
      <c r="J34" s="60">
        <v>400000</v>
      </c>
      <c r="K34" s="40" t="s">
        <v>125</v>
      </c>
      <c r="L34" s="222">
        <f t="shared" ref="L34:L35" si="19">L28</f>
        <v>5.7200000000000003E-3</v>
      </c>
      <c r="M34" s="220" t="s">
        <v>144</v>
      </c>
      <c r="O34" s="227">
        <f t="shared" ref="O34:O35" si="20">F34</f>
        <v>5.4099999999999999E-3</v>
      </c>
      <c r="P34" s="227">
        <f t="shared" ref="P34:P35" si="21">ROUND(O$8*O34,5)</f>
        <v>3.1E-4</v>
      </c>
      <c r="Q34" s="227">
        <v>0</v>
      </c>
      <c r="R34" s="227">
        <f t="shared" ref="R34:R35" si="22">SUM(O34:Q34)</f>
        <v>5.7200000000000003E-3</v>
      </c>
    </row>
    <row r="35" spans="2:18" x14ac:dyDescent="0.5">
      <c r="B35" s="13"/>
      <c r="C35" s="40" t="s">
        <v>76</v>
      </c>
      <c r="D35" s="60">
        <f>SUM(D31:D34)</f>
        <v>600000</v>
      </c>
      <c r="E35" s="40" t="s">
        <v>125</v>
      </c>
      <c r="F35" s="222">
        <f t="shared" si="18"/>
        <v>4.0099999999999997E-3</v>
      </c>
      <c r="G35" s="220" t="s">
        <v>144</v>
      </c>
      <c r="H35" s="13"/>
      <c r="I35" s="40" t="s">
        <v>76</v>
      </c>
      <c r="J35" s="60">
        <f>SUM(J31:J34)</f>
        <v>600000</v>
      </c>
      <c r="K35" s="40" t="s">
        <v>125</v>
      </c>
      <c r="L35" s="222">
        <f t="shared" si="19"/>
        <v>4.2399999999999998E-3</v>
      </c>
      <c r="M35" s="220" t="s">
        <v>144</v>
      </c>
      <c r="O35" s="227">
        <f t="shared" si="20"/>
        <v>4.0099999999999997E-3</v>
      </c>
      <c r="P35" s="227">
        <f t="shared" si="21"/>
        <v>2.3000000000000001E-4</v>
      </c>
      <c r="Q35" s="227">
        <v>0</v>
      </c>
      <c r="R35" s="227">
        <f t="shared" si="22"/>
        <v>4.2399999999999998E-3</v>
      </c>
    </row>
    <row r="36" spans="2:18" x14ac:dyDescent="0.5">
      <c r="B36" s="13"/>
      <c r="C36" s="40"/>
      <c r="D36" s="60"/>
      <c r="E36" s="40"/>
      <c r="F36" s="222"/>
      <c r="G36" s="220"/>
      <c r="H36" s="13"/>
      <c r="I36" s="40"/>
      <c r="J36" s="60"/>
      <c r="K36" s="40"/>
      <c r="L36" s="222"/>
      <c r="M36" s="220"/>
    </row>
    <row r="37" spans="2:18" x14ac:dyDescent="0.5">
      <c r="B37" s="13"/>
      <c r="C37" s="40" t="s">
        <v>232</v>
      </c>
      <c r="D37" s="60"/>
      <c r="E37" s="40"/>
      <c r="F37" s="40"/>
      <c r="G37" s="220"/>
      <c r="H37" s="13"/>
      <c r="I37" s="40" t="s">
        <v>232</v>
      </c>
      <c r="J37" s="60"/>
      <c r="K37" s="40"/>
      <c r="L37" s="40"/>
      <c r="M37" s="220"/>
    </row>
    <row r="38" spans="2:18" x14ac:dyDescent="0.5">
      <c r="B38" s="13"/>
      <c r="C38" s="40" t="s">
        <v>48</v>
      </c>
      <c r="D38" s="60">
        <v>16000</v>
      </c>
      <c r="E38" s="40" t="s">
        <v>125</v>
      </c>
      <c r="F38" s="221">
        <v>113.43</v>
      </c>
      <c r="G38" s="220" t="s">
        <v>145</v>
      </c>
      <c r="H38" s="13"/>
      <c r="I38" s="40" t="s">
        <v>48</v>
      </c>
      <c r="J38" s="60">
        <v>16000</v>
      </c>
      <c r="K38" s="40" t="s">
        <v>125</v>
      </c>
      <c r="L38" s="221">
        <f>R38</f>
        <v>120.02000000000001</v>
      </c>
      <c r="M38" s="220" t="s">
        <v>145</v>
      </c>
      <c r="O38" s="226">
        <f>F38</f>
        <v>113.43</v>
      </c>
      <c r="P38" s="226">
        <f>ROUND(O$8*O38,2)</f>
        <v>6.59</v>
      </c>
      <c r="Q38" s="227">
        <v>0</v>
      </c>
      <c r="R38" s="226">
        <f>SUM(O38:Q38)</f>
        <v>120.02000000000001</v>
      </c>
    </row>
    <row r="39" spans="2:18" x14ac:dyDescent="0.5">
      <c r="B39" s="13"/>
      <c r="C39" s="40" t="s">
        <v>49</v>
      </c>
      <c r="D39" s="60">
        <v>184000</v>
      </c>
      <c r="E39" s="40" t="s">
        <v>125</v>
      </c>
      <c r="F39" s="222">
        <f>F33</f>
        <v>5.7800000000000004E-3</v>
      </c>
      <c r="G39" s="220" t="s">
        <v>144</v>
      </c>
      <c r="H39" s="13"/>
      <c r="I39" s="40" t="s">
        <v>49</v>
      </c>
      <c r="J39" s="60">
        <v>184000</v>
      </c>
      <c r="K39" s="40" t="s">
        <v>125</v>
      </c>
      <c r="L39" s="222">
        <f>R39</f>
        <v>6.1200000000000004E-3</v>
      </c>
      <c r="M39" s="220" t="s">
        <v>144</v>
      </c>
      <c r="O39" s="227">
        <f t="shared" ref="O39" si="23">F39</f>
        <v>5.7800000000000004E-3</v>
      </c>
      <c r="P39" s="227">
        <f>ROUND(O$8*O39,5)</f>
        <v>3.4000000000000002E-4</v>
      </c>
      <c r="Q39" s="227">
        <v>0</v>
      </c>
      <c r="R39" s="227">
        <f>SUM(O39:Q39)</f>
        <v>6.1200000000000004E-3</v>
      </c>
    </row>
    <row r="40" spans="2:18" x14ac:dyDescent="0.5">
      <c r="B40" s="13"/>
      <c r="C40" s="40" t="s">
        <v>49</v>
      </c>
      <c r="D40" s="60">
        <v>400000</v>
      </c>
      <c r="E40" s="40" t="s">
        <v>125</v>
      </c>
      <c r="F40" s="222">
        <f t="shared" ref="F40:F41" si="24">F34</f>
        <v>5.4099999999999999E-3</v>
      </c>
      <c r="G40" s="220" t="s">
        <v>144</v>
      </c>
      <c r="H40" s="13"/>
      <c r="I40" s="40" t="s">
        <v>49</v>
      </c>
      <c r="J40" s="60">
        <v>400000</v>
      </c>
      <c r="K40" s="40" t="s">
        <v>125</v>
      </c>
      <c r="L40" s="222">
        <f t="shared" ref="L40:L41" si="25">L34</f>
        <v>5.7200000000000003E-3</v>
      </c>
      <c r="M40" s="220" t="s">
        <v>144</v>
      </c>
      <c r="O40" s="227">
        <f t="shared" ref="O40:O41" si="26">F40</f>
        <v>5.4099999999999999E-3</v>
      </c>
      <c r="P40" s="227">
        <f t="shared" ref="P40:P41" si="27">ROUND(O$8*O40,5)</f>
        <v>3.1E-4</v>
      </c>
      <c r="Q40" s="227">
        <v>0</v>
      </c>
      <c r="R40" s="227">
        <f t="shared" ref="R40:R41" si="28">SUM(O40:Q40)</f>
        <v>5.7200000000000003E-3</v>
      </c>
    </row>
    <row r="41" spans="2:18" x14ac:dyDescent="0.5">
      <c r="B41" s="13"/>
      <c r="C41" s="40" t="s">
        <v>76</v>
      </c>
      <c r="D41" s="60">
        <f>SUM(D37:D40)</f>
        <v>600000</v>
      </c>
      <c r="E41" s="40" t="s">
        <v>125</v>
      </c>
      <c r="F41" s="222">
        <f t="shared" si="24"/>
        <v>4.0099999999999997E-3</v>
      </c>
      <c r="G41" s="220" t="s">
        <v>144</v>
      </c>
      <c r="H41" s="13"/>
      <c r="I41" s="40" t="s">
        <v>76</v>
      </c>
      <c r="J41" s="60">
        <f>SUM(J37:J40)</f>
        <v>600000</v>
      </c>
      <c r="K41" s="40" t="s">
        <v>125</v>
      </c>
      <c r="L41" s="222">
        <f t="shared" si="25"/>
        <v>4.2399999999999998E-3</v>
      </c>
      <c r="M41" s="220" t="s">
        <v>144</v>
      </c>
      <c r="O41" s="227">
        <f t="shared" si="26"/>
        <v>4.0099999999999997E-3</v>
      </c>
      <c r="P41" s="227">
        <f t="shared" si="27"/>
        <v>2.3000000000000001E-4</v>
      </c>
      <c r="Q41" s="227">
        <v>0</v>
      </c>
      <c r="R41" s="227">
        <f t="shared" si="28"/>
        <v>4.2399999999999998E-3</v>
      </c>
    </row>
    <row r="42" spans="2:18" x14ac:dyDescent="0.5">
      <c r="B42" s="13"/>
      <c r="C42" s="40"/>
      <c r="D42" s="60"/>
      <c r="E42" s="40"/>
      <c r="F42" s="222"/>
      <c r="G42" s="220"/>
      <c r="H42" s="13"/>
      <c r="I42" s="40"/>
      <c r="J42" s="60"/>
      <c r="K42" s="40"/>
      <c r="L42" s="222"/>
      <c r="M42" s="220"/>
    </row>
    <row r="43" spans="2:18" x14ac:dyDescent="0.5">
      <c r="B43" s="13"/>
      <c r="C43" s="40" t="s">
        <v>233</v>
      </c>
      <c r="D43" s="60"/>
      <c r="E43" s="40"/>
      <c r="F43" s="40"/>
      <c r="G43" s="220"/>
      <c r="H43" s="13"/>
      <c r="I43" s="40" t="s">
        <v>233</v>
      </c>
      <c r="J43" s="60"/>
      <c r="K43" s="40"/>
      <c r="L43" s="40"/>
      <c r="M43" s="220"/>
    </row>
    <row r="44" spans="2:18" x14ac:dyDescent="0.5">
      <c r="B44" s="13"/>
      <c r="C44" s="40" t="s">
        <v>48</v>
      </c>
      <c r="D44" s="60">
        <v>30000</v>
      </c>
      <c r="E44" s="40" t="s">
        <v>125</v>
      </c>
      <c r="F44" s="221">
        <v>223.99</v>
      </c>
      <c r="G44" s="220" t="s">
        <v>145</v>
      </c>
      <c r="H44" s="13"/>
      <c r="I44" s="40" t="s">
        <v>48</v>
      </c>
      <c r="J44" s="60">
        <v>30000</v>
      </c>
      <c r="K44" s="40" t="s">
        <v>125</v>
      </c>
      <c r="L44" s="221">
        <f>R44</f>
        <v>237</v>
      </c>
      <c r="M44" s="220" t="s">
        <v>145</v>
      </c>
      <c r="O44" s="226">
        <f>F44</f>
        <v>223.99</v>
      </c>
      <c r="P44" s="226">
        <f>ROUND(O$8*O44,2)</f>
        <v>13.01</v>
      </c>
      <c r="Q44" s="227">
        <v>0</v>
      </c>
      <c r="R44" s="226">
        <f>SUM(O44:Q44)</f>
        <v>237</v>
      </c>
    </row>
    <row r="45" spans="2:18" x14ac:dyDescent="0.5">
      <c r="B45" s="13"/>
      <c r="C45" s="40" t="s">
        <v>49</v>
      </c>
      <c r="D45" s="60">
        <v>170000</v>
      </c>
      <c r="E45" s="40" t="s">
        <v>125</v>
      </c>
      <c r="F45" s="222">
        <f>F39</f>
        <v>5.7800000000000004E-3</v>
      </c>
      <c r="G45" s="220" t="s">
        <v>144</v>
      </c>
      <c r="H45" s="13"/>
      <c r="I45" s="40" t="s">
        <v>49</v>
      </c>
      <c r="J45" s="60">
        <v>170000</v>
      </c>
      <c r="K45" s="40" t="s">
        <v>125</v>
      </c>
      <c r="L45" s="222">
        <f>R45</f>
        <v>6.1200000000000004E-3</v>
      </c>
      <c r="M45" s="220" t="s">
        <v>144</v>
      </c>
      <c r="O45" s="227">
        <f t="shared" ref="O45" si="29">F45</f>
        <v>5.7800000000000004E-3</v>
      </c>
      <c r="P45" s="227">
        <f>ROUND(O$8*O45,5)</f>
        <v>3.4000000000000002E-4</v>
      </c>
      <c r="Q45" s="227">
        <v>0</v>
      </c>
      <c r="R45" s="227">
        <f>SUM(O45:Q45)</f>
        <v>6.1200000000000004E-3</v>
      </c>
    </row>
    <row r="46" spans="2:18" x14ac:dyDescent="0.5">
      <c r="B46" s="13"/>
      <c r="C46" s="40" t="s">
        <v>49</v>
      </c>
      <c r="D46" s="60">
        <v>400000</v>
      </c>
      <c r="E46" s="40" t="s">
        <v>125</v>
      </c>
      <c r="F46" s="222">
        <f t="shared" ref="F46:F47" si="30">F40</f>
        <v>5.4099999999999999E-3</v>
      </c>
      <c r="G46" s="220" t="s">
        <v>144</v>
      </c>
      <c r="H46" s="13"/>
      <c r="I46" s="40" t="s">
        <v>49</v>
      </c>
      <c r="J46" s="60">
        <v>400000</v>
      </c>
      <c r="K46" s="40" t="s">
        <v>125</v>
      </c>
      <c r="L46" s="222">
        <f t="shared" ref="L46:L47" si="31">R46</f>
        <v>5.7200000000000003E-3</v>
      </c>
      <c r="M46" s="220" t="s">
        <v>144</v>
      </c>
      <c r="O46" s="227">
        <f t="shared" ref="O46:O47" si="32">F46</f>
        <v>5.4099999999999999E-3</v>
      </c>
      <c r="P46" s="227">
        <f t="shared" ref="P46:P47" si="33">ROUND(O$8*O46,5)</f>
        <v>3.1E-4</v>
      </c>
      <c r="Q46" s="227">
        <v>0</v>
      </c>
      <c r="R46" s="227">
        <f t="shared" ref="R46:R47" si="34">SUM(O46:Q46)</f>
        <v>5.7200000000000003E-3</v>
      </c>
    </row>
    <row r="47" spans="2:18" x14ac:dyDescent="0.5">
      <c r="B47" s="13"/>
      <c r="C47" s="40" t="s">
        <v>76</v>
      </c>
      <c r="D47" s="60">
        <f>SUM(D43:D46)</f>
        <v>600000</v>
      </c>
      <c r="E47" s="40" t="s">
        <v>125</v>
      </c>
      <c r="F47" s="222">
        <f t="shared" si="30"/>
        <v>4.0099999999999997E-3</v>
      </c>
      <c r="G47" s="220" t="s">
        <v>144</v>
      </c>
      <c r="H47" s="13"/>
      <c r="I47" s="40" t="s">
        <v>76</v>
      </c>
      <c r="J47" s="60">
        <f>SUM(J43:J46)</f>
        <v>600000</v>
      </c>
      <c r="K47" s="40" t="s">
        <v>125</v>
      </c>
      <c r="L47" s="222">
        <f t="shared" si="31"/>
        <v>4.2399999999999998E-3</v>
      </c>
      <c r="M47" s="220" t="s">
        <v>144</v>
      </c>
      <c r="O47" s="227">
        <f t="shared" si="32"/>
        <v>4.0099999999999997E-3</v>
      </c>
      <c r="P47" s="227">
        <f t="shared" si="33"/>
        <v>2.3000000000000001E-4</v>
      </c>
      <c r="Q47" s="227">
        <v>0</v>
      </c>
      <c r="R47" s="227">
        <f t="shared" si="34"/>
        <v>4.2399999999999998E-3</v>
      </c>
    </row>
    <row r="48" spans="2:18" x14ac:dyDescent="0.5">
      <c r="B48" s="13"/>
      <c r="C48" s="40"/>
      <c r="D48" s="60"/>
      <c r="E48" s="40"/>
      <c r="F48" s="222"/>
      <c r="G48" s="220"/>
      <c r="H48" s="13"/>
      <c r="I48" s="40"/>
      <c r="J48" s="60"/>
      <c r="K48" s="40"/>
      <c r="L48" s="222"/>
      <c r="M48" s="220"/>
    </row>
    <row r="49" spans="2:18" x14ac:dyDescent="0.5">
      <c r="B49" s="13"/>
      <c r="C49" s="40" t="s">
        <v>234</v>
      </c>
      <c r="D49" s="60"/>
      <c r="E49" s="40"/>
      <c r="F49" s="40"/>
      <c r="G49" s="220"/>
      <c r="H49" s="13"/>
      <c r="I49" s="40" t="s">
        <v>234</v>
      </c>
      <c r="J49" s="60"/>
      <c r="K49" s="40"/>
      <c r="L49" s="40"/>
      <c r="M49" s="220"/>
    </row>
    <row r="50" spans="2:18" x14ac:dyDescent="0.5">
      <c r="B50" s="13"/>
      <c r="C50" s="40" t="s">
        <v>48</v>
      </c>
      <c r="D50" s="60">
        <v>50000</v>
      </c>
      <c r="E50" s="40" t="s">
        <v>125</v>
      </c>
      <c r="F50" s="221">
        <v>346.1</v>
      </c>
      <c r="G50" s="220" t="s">
        <v>145</v>
      </c>
      <c r="H50" s="13"/>
      <c r="I50" s="40" t="s">
        <v>48</v>
      </c>
      <c r="J50" s="60">
        <v>50000</v>
      </c>
      <c r="K50" s="40" t="s">
        <v>125</v>
      </c>
      <c r="L50" s="221">
        <f>R50</f>
        <v>366.21000000000004</v>
      </c>
      <c r="M50" s="220" t="s">
        <v>145</v>
      </c>
      <c r="O50" s="226">
        <f>F50</f>
        <v>346.1</v>
      </c>
      <c r="P50" s="226">
        <f>ROUND(O$8*O50,2)</f>
        <v>20.11</v>
      </c>
      <c r="Q50" s="227">
        <v>0</v>
      </c>
      <c r="R50" s="226">
        <f>SUM(O50:Q50)</f>
        <v>366.21000000000004</v>
      </c>
    </row>
    <row r="51" spans="2:18" x14ac:dyDescent="0.5">
      <c r="B51" s="13"/>
      <c r="C51" s="40" t="s">
        <v>49</v>
      </c>
      <c r="D51" s="60">
        <v>150000</v>
      </c>
      <c r="E51" s="40" t="s">
        <v>125</v>
      </c>
      <c r="F51" s="222">
        <f>F45</f>
        <v>5.7800000000000004E-3</v>
      </c>
      <c r="G51" s="220" t="s">
        <v>144</v>
      </c>
      <c r="H51" s="13"/>
      <c r="I51" s="40" t="s">
        <v>49</v>
      </c>
      <c r="J51" s="60">
        <v>150000</v>
      </c>
      <c r="K51" s="40" t="s">
        <v>125</v>
      </c>
      <c r="L51" s="222">
        <f>R51</f>
        <v>6.1200000000000004E-3</v>
      </c>
      <c r="M51" s="220" t="s">
        <v>144</v>
      </c>
      <c r="O51" s="227">
        <f t="shared" ref="O51" si="35">F51</f>
        <v>5.7800000000000004E-3</v>
      </c>
      <c r="P51" s="227">
        <f>ROUND(O$8*O51,5)</f>
        <v>3.4000000000000002E-4</v>
      </c>
      <c r="Q51" s="227">
        <v>0</v>
      </c>
      <c r="R51" s="227">
        <f>SUM(O51:Q51)</f>
        <v>6.1200000000000004E-3</v>
      </c>
    </row>
    <row r="52" spans="2:18" x14ac:dyDescent="0.5">
      <c r="B52" s="13"/>
      <c r="C52" s="40" t="s">
        <v>49</v>
      </c>
      <c r="D52" s="60">
        <v>400000</v>
      </c>
      <c r="E52" s="40" t="s">
        <v>125</v>
      </c>
      <c r="F52" s="222">
        <f t="shared" ref="F52:F53" si="36">F46</f>
        <v>5.4099999999999999E-3</v>
      </c>
      <c r="G52" s="220" t="s">
        <v>144</v>
      </c>
      <c r="H52" s="13"/>
      <c r="I52" s="40" t="s">
        <v>49</v>
      </c>
      <c r="J52" s="60">
        <v>400000</v>
      </c>
      <c r="K52" s="40" t="s">
        <v>125</v>
      </c>
      <c r="L52" s="222">
        <f t="shared" ref="L52:L53" si="37">R52</f>
        <v>5.7200000000000003E-3</v>
      </c>
      <c r="M52" s="220" t="s">
        <v>144</v>
      </c>
      <c r="O52" s="227">
        <f t="shared" ref="O52:O53" si="38">F52</f>
        <v>5.4099999999999999E-3</v>
      </c>
      <c r="P52" s="227">
        <f t="shared" ref="P52:P53" si="39">ROUND(O$8*O52,5)</f>
        <v>3.1E-4</v>
      </c>
      <c r="Q52" s="227">
        <v>0</v>
      </c>
      <c r="R52" s="227">
        <f t="shared" ref="R52:R53" si="40">SUM(O52:Q52)</f>
        <v>5.7200000000000003E-3</v>
      </c>
    </row>
    <row r="53" spans="2:18" x14ac:dyDescent="0.5">
      <c r="B53" s="13"/>
      <c r="C53" s="40" t="s">
        <v>76</v>
      </c>
      <c r="D53" s="60">
        <f>SUM(D49:D52)</f>
        <v>600000</v>
      </c>
      <c r="E53" s="40" t="s">
        <v>125</v>
      </c>
      <c r="F53" s="222">
        <f t="shared" si="36"/>
        <v>4.0099999999999997E-3</v>
      </c>
      <c r="G53" s="220" t="s">
        <v>144</v>
      </c>
      <c r="H53" s="13"/>
      <c r="I53" s="40" t="s">
        <v>76</v>
      </c>
      <c r="J53" s="60">
        <f>SUM(J49:J52)</f>
        <v>600000</v>
      </c>
      <c r="K53" s="40" t="s">
        <v>125</v>
      </c>
      <c r="L53" s="222">
        <f t="shared" si="37"/>
        <v>4.2399999999999998E-3</v>
      </c>
      <c r="M53" s="220" t="s">
        <v>144</v>
      </c>
      <c r="O53" s="227">
        <f t="shared" si="38"/>
        <v>4.0099999999999997E-3</v>
      </c>
      <c r="P53" s="227">
        <f t="shared" si="39"/>
        <v>2.3000000000000001E-4</v>
      </c>
      <c r="Q53" s="227">
        <v>0</v>
      </c>
      <c r="R53" s="227">
        <f t="shared" si="40"/>
        <v>4.2399999999999998E-3</v>
      </c>
    </row>
    <row r="54" spans="2:18" x14ac:dyDescent="0.5">
      <c r="B54" s="13"/>
      <c r="C54" s="40"/>
      <c r="D54" s="60"/>
      <c r="E54" s="40"/>
      <c r="F54" s="222"/>
      <c r="G54" s="220"/>
      <c r="H54" s="13"/>
      <c r="I54" s="40"/>
      <c r="J54" s="60"/>
      <c r="K54" s="40"/>
      <c r="L54" s="222"/>
      <c r="M54" s="220"/>
      <c r="Q54" s="227"/>
    </row>
    <row r="55" spans="2:18" x14ac:dyDescent="0.5">
      <c r="B55" s="13"/>
      <c r="C55" s="40" t="s">
        <v>235</v>
      </c>
      <c r="D55" s="60"/>
      <c r="E55" s="40"/>
      <c r="F55" s="40"/>
      <c r="G55" s="220"/>
      <c r="H55" s="13"/>
      <c r="I55" s="40" t="s">
        <v>235</v>
      </c>
      <c r="J55" s="60"/>
      <c r="K55" s="40"/>
      <c r="L55" s="40"/>
      <c r="M55" s="220"/>
    </row>
    <row r="56" spans="2:18" x14ac:dyDescent="0.5">
      <c r="B56" s="13"/>
      <c r="C56" s="40" t="s">
        <v>48</v>
      </c>
      <c r="D56" s="60">
        <v>100000</v>
      </c>
      <c r="E56" s="40" t="s">
        <v>125</v>
      </c>
      <c r="F56" s="221">
        <v>650.30999999999995</v>
      </c>
      <c r="G56" s="220" t="s">
        <v>145</v>
      </c>
      <c r="H56" s="13"/>
      <c r="I56" s="40" t="s">
        <v>48</v>
      </c>
      <c r="J56" s="60">
        <v>100000</v>
      </c>
      <c r="K56" s="40" t="s">
        <v>125</v>
      </c>
      <c r="L56" s="221">
        <f>R56</f>
        <v>688.08999999999992</v>
      </c>
      <c r="M56" s="220" t="s">
        <v>145</v>
      </c>
      <c r="O56" s="226">
        <f>F56</f>
        <v>650.30999999999995</v>
      </c>
      <c r="P56" s="226">
        <f>ROUND(O$8*O56,2)</f>
        <v>37.78</v>
      </c>
      <c r="Q56" s="227">
        <v>0</v>
      </c>
      <c r="R56" s="226">
        <f>SUM(O56:Q56)</f>
        <v>688.08999999999992</v>
      </c>
    </row>
    <row r="57" spans="2:18" x14ac:dyDescent="0.5">
      <c r="B57" s="13"/>
      <c r="C57" s="40" t="s">
        <v>49</v>
      </c>
      <c r="D57" s="60">
        <v>100000</v>
      </c>
      <c r="E57" s="40" t="s">
        <v>125</v>
      </c>
      <c r="F57" s="222">
        <f>F51</f>
        <v>5.7800000000000004E-3</v>
      </c>
      <c r="G57" s="220" t="s">
        <v>144</v>
      </c>
      <c r="H57" s="13"/>
      <c r="I57" s="40" t="s">
        <v>49</v>
      </c>
      <c r="J57" s="60">
        <v>100000</v>
      </c>
      <c r="K57" s="40" t="s">
        <v>125</v>
      </c>
      <c r="L57" s="222">
        <f>R57</f>
        <v>6.1200000000000004E-3</v>
      </c>
      <c r="M57" s="220" t="s">
        <v>144</v>
      </c>
      <c r="O57" s="227">
        <f t="shared" ref="O57" si="41">F57</f>
        <v>5.7800000000000004E-3</v>
      </c>
      <c r="P57" s="227">
        <f>ROUND(O$8*O57,5)</f>
        <v>3.4000000000000002E-4</v>
      </c>
      <c r="Q57" s="227">
        <v>0</v>
      </c>
      <c r="R57" s="227">
        <f>SUM(O57:Q57)</f>
        <v>6.1200000000000004E-3</v>
      </c>
    </row>
    <row r="58" spans="2:18" x14ac:dyDescent="0.5">
      <c r="B58" s="13"/>
      <c r="C58" s="40" t="s">
        <v>49</v>
      </c>
      <c r="D58" s="60">
        <v>400000</v>
      </c>
      <c r="E58" s="40" t="s">
        <v>125</v>
      </c>
      <c r="F58" s="222">
        <f t="shared" ref="F58:F59" si="42">F52</f>
        <v>5.4099999999999999E-3</v>
      </c>
      <c r="G58" s="220" t="s">
        <v>144</v>
      </c>
      <c r="H58" s="13"/>
      <c r="I58" s="40" t="s">
        <v>49</v>
      </c>
      <c r="J58" s="60">
        <v>400000</v>
      </c>
      <c r="K58" s="40" t="s">
        <v>125</v>
      </c>
      <c r="L58" s="222">
        <f t="shared" ref="L58:L59" si="43">R58</f>
        <v>5.7200000000000003E-3</v>
      </c>
      <c r="M58" s="220" t="s">
        <v>144</v>
      </c>
      <c r="O58" s="227">
        <f t="shared" ref="O58:O59" si="44">F58</f>
        <v>5.4099999999999999E-3</v>
      </c>
      <c r="P58" s="227">
        <f t="shared" ref="P58:P59" si="45">ROUND(O$8*O58,5)</f>
        <v>3.1E-4</v>
      </c>
      <c r="Q58" s="227">
        <v>0</v>
      </c>
      <c r="R58" s="227">
        <f t="shared" ref="R58:R59" si="46">SUM(O58:Q58)</f>
        <v>5.7200000000000003E-3</v>
      </c>
    </row>
    <row r="59" spans="2:18" x14ac:dyDescent="0.5">
      <c r="B59" s="13"/>
      <c r="C59" s="40" t="s">
        <v>76</v>
      </c>
      <c r="D59" s="60">
        <f>SUM(D55:D58)</f>
        <v>600000</v>
      </c>
      <c r="E59" s="40" t="s">
        <v>125</v>
      </c>
      <c r="F59" s="222">
        <f t="shared" si="42"/>
        <v>4.0099999999999997E-3</v>
      </c>
      <c r="G59" s="220" t="s">
        <v>144</v>
      </c>
      <c r="H59" s="13"/>
      <c r="I59" s="40" t="s">
        <v>76</v>
      </c>
      <c r="J59" s="60">
        <f>SUM(J55:J58)</f>
        <v>600000</v>
      </c>
      <c r="K59" s="40" t="s">
        <v>125</v>
      </c>
      <c r="L59" s="222">
        <f t="shared" si="43"/>
        <v>4.2399999999999998E-3</v>
      </c>
      <c r="M59" s="220" t="s">
        <v>144</v>
      </c>
      <c r="O59" s="227">
        <f t="shared" si="44"/>
        <v>4.0099999999999997E-3</v>
      </c>
      <c r="P59" s="227">
        <f t="shared" si="45"/>
        <v>2.3000000000000001E-4</v>
      </c>
      <c r="Q59" s="227">
        <v>0</v>
      </c>
      <c r="R59" s="227">
        <f t="shared" si="46"/>
        <v>4.2399999999999998E-3</v>
      </c>
    </row>
    <row r="60" spans="2:18" x14ac:dyDescent="0.5">
      <c r="B60" s="13"/>
      <c r="C60" s="40"/>
      <c r="D60" s="60"/>
      <c r="E60" s="40"/>
      <c r="F60" s="222"/>
      <c r="G60" s="220"/>
      <c r="H60" s="13"/>
      <c r="I60" s="40"/>
      <c r="J60" s="60"/>
      <c r="K60" s="40"/>
      <c r="L60" s="222"/>
      <c r="M60" s="220"/>
    </row>
    <row r="61" spans="2:18" x14ac:dyDescent="0.5">
      <c r="B61" s="13"/>
      <c r="C61" s="40" t="s">
        <v>236</v>
      </c>
      <c r="D61" s="60"/>
      <c r="E61" s="40"/>
      <c r="F61" s="40"/>
      <c r="G61" s="220"/>
      <c r="H61" s="13"/>
      <c r="I61" s="40" t="s">
        <v>236</v>
      </c>
      <c r="J61" s="60"/>
      <c r="K61" s="40"/>
      <c r="L61" s="40"/>
      <c r="M61" s="220"/>
    </row>
    <row r="62" spans="2:18" x14ac:dyDescent="0.5">
      <c r="B62" s="13"/>
      <c r="C62" s="40" t="s">
        <v>48</v>
      </c>
      <c r="D62" s="60">
        <v>160000</v>
      </c>
      <c r="E62" s="40" t="s">
        <v>125</v>
      </c>
      <c r="F62" s="221">
        <v>1018.89</v>
      </c>
      <c r="G62" s="220" t="s">
        <v>145</v>
      </c>
      <c r="H62" s="13"/>
      <c r="I62" s="40" t="s">
        <v>48</v>
      </c>
      <c r="J62" s="60">
        <v>160000</v>
      </c>
      <c r="K62" s="40" t="s">
        <v>125</v>
      </c>
      <c r="L62" s="221">
        <f>R62</f>
        <v>1078.0899999999999</v>
      </c>
      <c r="M62" s="220" t="s">
        <v>145</v>
      </c>
      <c r="O62" s="226">
        <f>F62</f>
        <v>1018.89</v>
      </c>
      <c r="P62" s="226">
        <f>ROUND(O$8*O62,2)</f>
        <v>59.2</v>
      </c>
      <c r="Q62" s="227">
        <v>0</v>
      </c>
      <c r="R62" s="226">
        <f>SUM(O62:Q62)</f>
        <v>1078.0899999999999</v>
      </c>
    </row>
    <row r="63" spans="2:18" x14ac:dyDescent="0.5">
      <c r="B63" s="13"/>
      <c r="C63" s="40" t="s">
        <v>49</v>
      </c>
      <c r="D63" s="60">
        <v>40000</v>
      </c>
      <c r="E63" s="40" t="s">
        <v>125</v>
      </c>
      <c r="F63" s="222">
        <f>F57</f>
        <v>5.7800000000000004E-3</v>
      </c>
      <c r="G63" s="220" t="s">
        <v>144</v>
      </c>
      <c r="H63" s="13"/>
      <c r="I63" s="40" t="s">
        <v>49</v>
      </c>
      <c r="J63" s="60">
        <v>40000</v>
      </c>
      <c r="K63" s="40" t="s">
        <v>125</v>
      </c>
      <c r="L63" s="222">
        <f>R63</f>
        <v>6.1200000000000004E-3</v>
      </c>
      <c r="M63" s="220" t="s">
        <v>144</v>
      </c>
      <c r="O63" s="227">
        <f t="shared" ref="O63" si="47">F63</f>
        <v>5.7800000000000004E-3</v>
      </c>
      <c r="P63" s="227">
        <f>ROUND(O$8*O63,5)</f>
        <v>3.4000000000000002E-4</v>
      </c>
      <c r="Q63" s="227">
        <v>0</v>
      </c>
      <c r="R63" s="227">
        <f>SUM(O63:Q63)</f>
        <v>6.1200000000000004E-3</v>
      </c>
    </row>
    <row r="64" spans="2:18" x14ac:dyDescent="0.5">
      <c r="B64" s="13"/>
      <c r="C64" s="40" t="s">
        <v>49</v>
      </c>
      <c r="D64" s="60">
        <v>400000</v>
      </c>
      <c r="E64" s="40" t="s">
        <v>125</v>
      </c>
      <c r="F64" s="222">
        <f t="shared" ref="F64:F65" si="48">F58</f>
        <v>5.4099999999999999E-3</v>
      </c>
      <c r="G64" s="220" t="s">
        <v>144</v>
      </c>
      <c r="H64" s="13"/>
      <c r="I64" s="40" t="s">
        <v>49</v>
      </c>
      <c r="J64" s="60">
        <v>400000</v>
      </c>
      <c r="K64" s="40" t="s">
        <v>125</v>
      </c>
      <c r="L64" s="222">
        <f t="shared" ref="L64:L65" si="49">R64</f>
        <v>5.7200000000000003E-3</v>
      </c>
      <c r="M64" s="220" t="s">
        <v>144</v>
      </c>
      <c r="O64" s="227">
        <f t="shared" ref="O64:O65" si="50">F64</f>
        <v>5.4099999999999999E-3</v>
      </c>
      <c r="P64" s="227">
        <f t="shared" ref="P64:P65" si="51">ROUND(O$8*O64,5)</f>
        <v>3.1E-4</v>
      </c>
      <c r="Q64" s="227">
        <v>0</v>
      </c>
      <c r="R64" s="227">
        <f t="shared" ref="R64:R65" si="52">SUM(O64:Q64)</f>
        <v>5.7200000000000003E-3</v>
      </c>
    </row>
    <row r="65" spans="2:18" x14ac:dyDescent="0.5">
      <c r="B65" s="13"/>
      <c r="C65" s="40" t="s">
        <v>76</v>
      </c>
      <c r="D65" s="60">
        <f>SUM(D61:D64)</f>
        <v>600000</v>
      </c>
      <c r="E65" s="40" t="s">
        <v>125</v>
      </c>
      <c r="F65" s="222">
        <f t="shared" si="48"/>
        <v>4.0099999999999997E-3</v>
      </c>
      <c r="G65" s="220" t="s">
        <v>144</v>
      </c>
      <c r="H65" s="13"/>
      <c r="I65" s="40" t="s">
        <v>76</v>
      </c>
      <c r="J65" s="60">
        <f>SUM(J61:J64)</f>
        <v>600000</v>
      </c>
      <c r="K65" s="40" t="s">
        <v>125</v>
      </c>
      <c r="L65" s="222">
        <f t="shared" si="49"/>
        <v>4.2399999999999998E-3</v>
      </c>
      <c r="M65" s="220" t="s">
        <v>144</v>
      </c>
      <c r="O65" s="227">
        <f t="shared" si="50"/>
        <v>4.0099999999999997E-3</v>
      </c>
      <c r="P65" s="227">
        <f t="shared" si="51"/>
        <v>2.3000000000000001E-4</v>
      </c>
      <c r="Q65" s="227">
        <v>0</v>
      </c>
      <c r="R65" s="227">
        <f t="shared" si="52"/>
        <v>4.2399999999999998E-3</v>
      </c>
    </row>
    <row r="66" spans="2:18" x14ac:dyDescent="0.5">
      <c r="B66" s="13"/>
      <c r="C66" s="40"/>
      <c r="D66" s="60"/>
      <c r="E66" s="40"/>
      <c r="F66" s="222"/>
      <c r="G66" s="220"/>
      <c r="H66" s="13"/>
      <c r="I66" s="40"/>
      <c r="J66" s="60"/>
      <c r="K66" s="40"/>
      <c r="L66" s="222"/>
      <c r="M66" s="220"/>
    </row>
    <row r="67" spans="2:18" x14ac:dyDescent="0.5">
      <c r="B67" s="13"/>
      <c r="C67" s="40" t="s">
        <v>347</v>
      </c>
      <c r="D67" s="60"/>
      <c r="E67" s="40"/>
      <c r="F67" s="40"/>
      <c r="G67" s="220"/>
      <c r="H67" s="13"/>
      <c r="I67" s="40" t="s">
        <v>347</v>
      </c>
      <c r="J67" s="60"/>
      <c r="K67" s="40"/>
      <c r="L67" s="40"/>
      <c r="M67" s="220"/>
    </row>
    <row r="68" spans="2:18" x14ac:dyDescent="0.5">
      <c r="B68" s="13"/>
      <c r="C68" s="40" t="s">
        <v>48</v>
      </c>
      <c r="D68" s="60">
        <v>550000</v>
      </c>
      <c r="E68" s="40" t="s">
        <v>125</v>
      </c>
      <c r="F68" s="221">
        <v>3158.3</v>
      </c>
      <c r="G68" s="220" t="s">
        <v>145</v>
      </c>
      <c r="H68" s="13"/>
      <c r="I68" s="40" t="s">
        <v>48</v>
      </c>
      <c r="J68" s="60">
        <v>550000</v>
      </c>
      <c r="K68" s="40" t="s">
        <v>125</v>
      </c>
      <c r="L68" s="221">
        <f>R68</f>
        <v>3341.8</v>
      </c>
      <c r="M68" s="220" t="s">
        <v>145</v>
      </c>
      <c r="O68" s="226">
        <f>F68</f>
        <v>3158.3</v>
      </c>
      <c r="P68" s="226">
        <f>ROUND(O$8*O68,2)</f>
        <v>183.5</v>
      </c>
      <c r="Q68" s="227">
        <v>0</v>
      </c>
      <c r="R68" s="226">
        <f>SUM(O68:Q68)</f>
        <v>3341.8</v>
      </c>
    </row>
    <row r="69" spans="2:18" x14ac:dyDescent="0.5">
      <c r="B69" s="13"/>
      <c r="C69" s="40" t="s">
        <v>49</v>
      </c>
      <c r="D69" s="60">
        <v>50000</v>
      </c>
      <c r="E69" s="40" t="s">
        <v>125</v>
      </c>
      <c r="F69" s="222">
        <f>F64</f>
        <v>5.4099999999999999E-3</v>
      </c>
      <c r="G69" s="220" t="s">
        <v>144</v>
      </c>
      <c r="H69" s="13"/>
      <c r="I69" s="40" t="s">
        <v>49</v>
      </c>
      <c r="J69" s="60">
        <v>50000</v>
      </c>
      <c r="K69" s="40" t="s">
        <v>125</v>
      </c>
      <c r="L69" s="222">
        <f>R69</f>
        <v>5.7200000000000003E-3</v>
      </c>
      <c r="M69" s="220" t="s">
        <v>144</v>
      </c>
      <c r="O69" s="227">
        <f t="shared" ref="O69" si="53">F69</f>
        <v>5.4099999999999999E-3</v>
      </c>
      <c r="P69" s="227">
        <f>ROUND(O$8*O69,5)</f>
        <v>3.1E-4</v>
      </c>
      <c r="Q69" s="227">
        <v>0</v>
      </c>
      <c r="R69" s="227">
        <f>SUM(O69:Q69)</f>
        <v>5.7200000000000003E-3</v>
      </c>
    </row>
    <row r="70" spans="2:18" x14ac:dyDescent="0.5">
      <c r="B70" s="13"/>
      <c r="C70" s="40" t="s">
        <v>76</v>
      </c>
      <c r="D70" s="60">
        <f>SUM(D67:D69)</f>
        <v>600000</v>
      </c>
      <c r="E70" s="40" t="s">
        <v>125</v>
      </c>
      <c r="F70" s="222">
        <f>F65</f>
        <v>4.0099999999999997E-3</v>
      </c>
      <c r="G70" s="220" t="s">
        <v>144</v>
      </c>
      <c r="H70" s="13"/>
      <c r="I70" s="40" t="s">
        <v>76</v>
      </c>
      <c r="J70" s="60">
        <f>SUM(J67:J69)</f>
        <v>600000</v>
      </c>
      <c r="K70" s="40" t="s">
        <v>125</v>
      </c>
      <c r="L70" s="222">
        <f>R70</f>
        <v>4.2399999999999998E-3</v>
      </c>
      <c r="M70" s="220" t="s">
        <v>144</v>
      </c>
      <c r="O70" s="227">
        <f t="shared" ref="O70" si="54">F70</f>
        <v>4.0099999999999997E-3</v>
      </c>
      <c r="P70" s="227">
        <f>ROUND(O$8*O70,5)</f>
        <v>2.3000000000000001E-4</v>
      </c>
      <c r="Q70" s="227">
        <v>0</v>
      </c>
      <c r="R70" s="227">
        <f>SUM(O70:Q70)</f>
        <v>4.2399999999999998E-3</v>
      </c>
    </row>
    <row r="71" spans="2:18" x14ac:dyDescent="0.5">
      <c r="B71" s="13"/>
      <c r="C71" s="40"/>
      <c r="D71" s="60"/>
      <c r="E71" s="40"/>
      <c r="F71" s="222"/>
      <c r="G71" s="220"/>
      <c r="H71" s="13"/>
      <c r="I71" s="40"/>
      <c r="J71" s="60"/>
      <c r="K71" s="40"/>
      <c r="L71" s="222"/>
      <c r="M71" s="220"/>
    </row>
    <row r="72" spans="2:18" x14ac:dyDescent="0.5">
      <c r="B72" s="13"/>
      <c r="C72" s="40" t="s">
        <v>348</v>
      </c>
      <c r="D72" s="60"/>
      <c r="E72" s="40"/>
      <c r="F72" s="222"/>
      <c r="G72" s="220"/>
      <c r="H72" s="13"/>
      <c r="I72" s="40" t="s">
        <v>348</v>
      </c>
      <c r="J72" s="60"/>
      <c r="K72" s="40"/>
      <c r="L72" s="222"/>
      <c r="M72" s="220"/>
    </row>
    <row r="73" spans="2:18" x14ac:dyDescent="0.5">
      <c r="B73" s="13"/>
      <c r="C73" s="40" t="s">
        <v>468</v>
      </c>
      <c r="D73" s="60"/>
      <c r="E73" s="40"/>
      <c r="F73" s="223">
        <f>CurRates!G70</f>
        <v>10.37</v>
      </c>
      <c r="G73" s="220"/>
      <c r="H73" s="13"/>
      <c r="I73" s="40" t="s">
        <v>468</v>
      </c>
      <c r="J73" s="60"/>
      <c r="K73" s="40"/>
      <c r="L73" s="223">
        <f>R73</f>
        <v>10.969999999999999</v>
      </c>
      <c r="M73" s="220"/>
      <c r="O73" s="226">
        <f>F73</f>
        <v>10.37</v>
      </c>
      <c r="P73" s="226">
        <f>ROUND(O$8*O73,2)</f>
        <v>0.6</v>
      </c>
      <c r="Q73" s="227">
        <v>0</v>
      </c>
      <c r="R73" s="226">
        <f>SUM(O73:Q73)</f>
        <v>10.969999999999999</v>
      </c>
    </row>
    <row r="74" spans="2:18" x14ac:dyDescent="0.5">
      <c r="B74" s="13"/>
      <c r="C74" s="40" t="s">
        <v>469</v>
      </c>
      <c r="D74" s="60"/>
      <c r="E74" s="40"/>
      <c r="F74" s="223">
        <f>CurRates!G71</f>
        <v>17.46</v>
      </c>
      <c r="G74" s="220"/>
      <c r="H74" s="13"/>
      <c r="I74" s="40" t="s">
        <v>469</v>
      </c>
      <c r="J74" s="60"/>
      <c r="K74" s="40"/>
      <c r="L74" s="223">
        <f>R74</f>
        <v>18.470000000000002</v>
      </c>
      <c r="M74" s="220"/>
      <c r="O74" s="226">
        <f>F74</f>
        <v>17.46</v>
      </c>
      <c r="P74" s="226">
        <f>ROUND(O$8*O74,2)</f>
        <v>1.01</v>
      </c>
      <c r="Q74" s="227">
        <v>0</v>
      </c>
      <c r="R74" s="226">
        <f>SUM(O74:Q74)</f>
        <v>18.470000000000002</v>
      </c>
    </row>
    <row r="75" spans="2:18" x14ac:dyDescent="0.5">
      <c r="B75" s="13"/>
      <c r="C75" s="40" t="s">
        <v>470</v>
      </c>
      <c r="F75" s="223">
        <f>CurRates!G72</f>
        <v>27.03</v>
      </c>
      <c r="I75" s="40" t="s">
        <v>470</v>
      </c>
      <c r="L75" s="223">
        <f t="shared" ref="L75:L80" si="55">R75</f>
        <v>28.6</v>
      </c>
      <c r="M75" s="74"/>
      <c r="O75" s="226">
        <f t="shared" ref="O75:O80" si="56">F75</f>
        <v>27.03</v>
      </c>
      <c r="P75" s="226">
        <f t="shared" ref="P75:P80" si="57">ROUND(O$8*O75,2)</f>
        <v>1.57</v>
      </c>
      <c r="Q75" s="227">
        <v>0</v>
      </c>
      <c r="R75" s="226">
        <f t="shared" ref="R75:R80" si="58">SUM(O75:Q75)</f>
        <v>28.6</v>
      </c>
    </row>
    <row r="76" spans="2:18" x14ac:dyDescent="0.5">
      <c r="B76" s="13"/>
      <c r="C76" s="40" t="s">
        <v>471</v>
      </c>
      <c r="F76" s="223">
        <f>CurRates!G73</f>
        <v>67.86</v>
      </c>
      <c r="I76" s="40" t="s">
        <v>471</v>
      </c>
      <c r="L76" s="223">
        <f t="shared" si="55"/>
        <v>71.8</v>
      </c>
      <c r="M76" s="74"/>
      <c r="O76" s="226">
        <f t="shared" si="56"/>
        <v>67.86</v>
      </c>
      <c r="P76" s="226">
        <f t="shared" si="57"/>
        <v>3.94</v>
      </c>
      <c r="Q76" s="227">
        <v>0</v>
      </c>
      <c r="R76" s="226">
        <f t="shared" si="58"/>
        <v>71.8</v>
      </c>
    </row>
    <row r="77" spans="2:18" x14ac:dyDescent="0.5">
      <c r="B77" s="13"/>
      <c r="C77" s="40" t="s">
        <v>244</v>
      </c>
      <c r="F77" s="223">
        <f>CurRates!G74</f>
        <v>142.96</v>
      </c>
      <c r="I77" s="40" t="s">
        <v>244</v>
      </c>
      <c r="L77" s="223">
        <f t="shared" si="55"/>
        <v>151.27000000000001</v>
      </c>
      <c r="M77" s="74"/>
      <c r="O77" s="226">
        <f t="shared" si="56"/>
        <v>142.96</v>
      </c>
      <c r="P77" s="226">
        <f t="shared" si="57"/>
        <v>8.31</v>
      </c>
      <c r="Q77" s="227">
        <v>0</v>
      </c>
      <c r="R77" s="226">
        <f t="shared" si="58"/>
        <v>151.27000000000001</v>
      </c>
    </row>
    <row r="78" spans="2:18" x14ac:dyDescent="0.5">
      <c r="B78" s="13"/>
      <c r="C78" s="40" t="s">
        <v>245</v>
      </c>
      <c r="F78" s="223">
        <f>CurRates!G75</f>
        <v>355.58</v>
      </c>
      <c r="I78" s="40" t="s">
        <v>245</v>
      </c>
      <c r="L78" s="223">
        <f t="shared" si="55"/>
        <v>376.24</v>
      </c>
      <c r="M78" s="74"/>
      <c r="O78" s="226">
        <f t="shared" si="56"/>
        <v>355.58</v>
      </c>
      <c r="P78" s="226">
        <f t="shared" si="57"/>
        <v>20.66</v>
      </c>
      <c r="Q78" s="227">
        <v>0</v>
      </c>
      <c r="R78" s="226">
        <f t="shared" si="58"/>
        <v>376.24</v>
      </c>
    </row>
    <row r="79" spans="2:18" x14ac:dyDescent="0.5">
      <c r="B79" s="13"/>
      <c r="C79" s="40" t="s">
        <v>467</v>
      </c>
      <c r="F79" s="223">
        <f>CurRates!G76</f>
        <v>713.09</v>
      </c>
      <c r="I79" s="40" t="s">
        <v>467</v>
      </c>
      <c r="L79" s="223">
        <f t="shared" si="55"/>
        <v>754.52</v>
      </c>
      <c r="M79" s="74"/>
      <c r="O79" s="226">
        <f t="shared" si="56"/>
        <v>713.09</v>
      </c>
      <c r="P79" s="226">
        <f t="shared" si="57"/>
        <v>41.43</v>
      </c>
      <c r="Q79" s="227">
        <v>0</v>
      </c>
      <c r="R79" s="226">
        <f t="shared" si="58"/>
        <v>754.52</v>
      </c>
    </row>
    <row r="80" spans="2:18" x14ac:dyDescent="0.5">
      <c r="B80" s="13"/>
      <c r="C80" s="40" t="s">
        <v>472</v>
      </c>
      <c r="F80" s="223">
        <f>CurRates!G77</f>
        <v>1253.3599999999999</v>
      </c>
      <c r="I80" s="40" t="s">
        <v>472</v>
      </c>
      <c r="L80" s="223">
        <f t="shared" si="55"/>
        <v>1326.1799999999998</v>
      </c>
      <c r="M80" s="74"/>
      <c r="O80" s="226">
        <f t="shared" si="56"/>
        <v>1253.3599999999999</v>
      </c>
      <c r="P80" s="226">
        <f t="shared" si="57"/>
        <v>72.819999999999993</v>
      </c>
      <c r="Q80" s="227">
        <v>0</v>
      </c>
      <c r="R80" s="226">
        <f t="shared" si="58"/>
        <v>1326.1799999999998</v>
      </c>
    </row>
    <row r="81" spans="2:13" x14ac:dyDescent="0.5">
      <c r="B81" s="15"/>
      <c r="C81" s="75"/>
      <c r="D81" s="75"/>
      <c r="E81" s="75"/>
      <c r="F81" s="76"/>
      <c r="G81" s="75"/>
      <c r="H81" s="75"/>
      <c r="I81" s="75"/>
      <c r="J81" s="75"/>
      <c r="K81" s="75"/>
      <c r="L81" s="76"/>
      <c r="M81" s="77"/>
    </row>
  </sheetData>
  <mergeCells count="5">
    <mergeCell ref="C8:G8"/>
    <mergeCell ref="I8:M8"/>
    <mergeCell ref="C3:M3"/>
    <mergeCell ref="C4:M4"/>
    <mergeCell ref="C5:M5"/>
  </mergeCells>
  <printOptions horizontalCentered="1"/>
  <pageMargins left="0.8" right="0.55000000000000004" top="1.2" bottom="0.5" header="0" footer="0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5B459-4B35-4922-89D5-6FC69963A3A7}">
  <dimension ref="B1:N171"/>
  <sheetViews>
    <sheetView showGridLines="0" zoomScale="124" zoomScaleNormal="124" workbookViewId="0">
      <selection activeCell="D10" sqref="D10"/>
    </sheetView>
  </sheetViews>
  <sheetFormatPr defaultColWidth="14.77734375" defaultRowHeight="15" x14ac:dyDescent="0.4"/>
  <cols>
    <col min="1" max="1" width="5.5546875" customWidth="1"/>
    <col min="2" max="2" width="1.77734375" customWidth="1"/>
    <col min="5" max="12" width="14.77734375" style="59"/>
    <col min="13" max="13" width="1.77734375" customWidth="1"/>
  </cols>
  <sheetData>
    <row r="1" spans="2:13" x14ac:dyDescent="0.4">
      <c r="B1" s="95"/>
      <c r="C1" s="104"/>
      <c r="D1" s="104"/>
      <c r="E1" s="116"/>
      <c r="F1" s="116"/>
      <c r="G1" s="116"/>
      <c r="H1" s="116"/>
      <c r="I1" s="116"/>
      <c r="J1" s="116"/>
      <c r="K1" s="116"/>
      <c r="L1" s="116"/>
      <c r="M1" s="96"/>
    </row>
    <row r="2" spans="2:13" ht="18" x14ac:dyDescent="0.55000000000000004">
      <c r="B2" s="28"/>
      <c r="C2" s="508" t="s">
        <v>475</v>
      </c>
      <c r="D2" s="508"/>
      <c r="E2" s="508"/>
      <c r="F2" s="508"/>
      <c r="G2" s="508"/>
      <c r="H2" s="508"/>
      <c r="I2" s="508"/>
      <c r="J2" s="508"/>
      <c r="K2" s="508"/>
      <c r="L2" s="508"/>
      <c r="M2" s="91"/>
    </row>
    <row r="3" spans="2:13" ht="18" x14ac:dyDescent="0.4">
      <c r="B3" s="28"/>
      <c r="C3" s="509" t="s">
        <v>478</v>
      </c>
      <c r="D3" s="509"/>
      <c r="E3" s="509"/>
      <c r="F3" s="509"/>
      <c r="G3" s="509"/>
      <c r="H3" s="509"/>
      <c r="I3" s="509"/>
      <c r="J3" s="509"/>
      <c r="K3" s="509"/>
      <c r="L3" s="509"/>
      <c r="M3" s="91"/>
    </row>
    <row r="4" spans="2:13" x14ac:dyDescent="0.4">
      <c r="B4" s="28"/>
      <c r="M4" s="91"/>
    </row>
    <row r="5" spans="2:13" x14ac:dyDescent="0.4">
      <c r="B5" s="28"/>
      <c r="M5" s="91"/>
    </row>
    <row r="6" spans="2:13" x14ac:dyDescent="0.4">
      <c r="B6" s="28"/>
      <c r="M6" s="91"/>
    </row>
    <row r="7" spans="2:13" x14ac:dyDescent="0.4">
      <c r="B7" s="28"/>
      <c r="M7" s="91"/>
    </row>
    <row r="8" spans="2:13" x14ac:dyDescent="0.4">
      <c r="B8" s="28"/>
      <c r="G8" s="110" t="s">
        <v>125</v>
      </c>
      <c r="H8" s="110" t="s">
        <v>349</v>
      </c>
      <c r="M8" s="91"/>
    </row>
    <row r="9" spans="2:13" x14ac:dyDescent="0.4">
      <c r="B9" s="28"/>
      <c r="C9" t="s">
        <v>229</v>
      </c>
      <c r="G9" s="68">
        <f>G49</f>
        <v>187440901</v>
      </c>
      <c r="H9" s="59">
        <f>J49</f>
        <v>1555229.9199999997</v>
      </c>
      <c r="M9" s="91"/>
    </row>
    <row r="10" spans="2:13" x14ac:dyDescent="0.4">
      <c r="B10" s="28"/>
      <c r="C10" t="s">
        <v>230</v>
      </c>
      <c r="G10" s="68">
        <f>G65</f>
        <v>24289127</v>
      </c>
      <c r="H10" s="59">
        <f>J65</f>
        <v>175052.96999999997</v>
      </c>
      <c r="M10" s="91"/>
    </row>
    <row r="11" spans="2:13" x14ac:dyDescent="0.4">
      <c r="B11" s="28"/>
      <c r="C11" t="s">
        <v>231</v>
      </c>
      <c r="G11" s="68">
        <f>G79</f>
        <v>9350599</v>
      </c>
      <c r="H11" s="59">
        <f>J79</f>
        <v>61428.100000000006</v>
      </c>
      <c r="M11" s="91"/>
    </row>
    <row r="12" spans="2:13" x14ac:dyDescent="0.4">
      <c r="B12" s="28"/>
      <c r="C12" t="s">
        <v>232</v>
      </c>
      <c r="G12" s="68">
        <f>G95</f>
        <v>51624213</v>
      </c>
      <c r="H12" s="59">
        <f>J95</f>
        <v>315342.95999999996</v>
      </c>
      <c r="M12" s="91"/>
    </row>
    <row r="13" spans="2:13" x14ac:dyDescent="0.4">
      <c r="B13" s="28"/>
      <c r="C13" t="s">
        <v>233</v>
      </c>
      <c r="G13" s="68">
        <f>G110</f>
        <v>2983300</v>
      </c>
      <c r="H13" s="59">
        <f>J110</f>
        <v>19535.640000000003</v>
      </c>
      <c r="M13" s="91"/>
    </row>
    <row r="14" spans="2:13" x14ac:dyDescent="0.4">
      <c r="B14" s="28"/>
      <c r="C14" t="s">
        <v>234</v>
      </c>
      <c r="G14" s="68">
        <v>27592713</v>
      </c>
      <c r="H14" s="59">
        <f>J125</f>
        <v>180162.1</v>
      </c>
      <c r="M14" s="91"/>
    </row>
    <row r="15" spans="2:13" x14ac:dyDescent="0.4">
      <c r="B15" s="28"/>
      <c r="C15" t="s">
        <v>235</v>
      </c>
      <c r="G15" s="68">
        <v>13814539</v>
      </c>
      <c r="H15" s="59">
        <f>J140</f>
        <v>145961.37</v>
      </c>
      <c r="M15" s="91"/>
    </row>
    <row r="16" spans="2:13" x14ac:dyDescent="0.4">
      <c r="B16" s="28"/>
      <c r="C16" t="s">
        <v>236</v>
      </c>
      <c r="G16" s="242">
        <v>36877196</v>
      </c>
      <c r="H16" s="81">
        <f>J154</f>
        <v>227605.09999999998</v>
      </c>
      <c r="M16" s="91"/>
    </row>
    <row r="17" spans="2:14" x14ac:dyDescent="0.4">
      <c r="B17" s="28"/>
      <c r="C17" t="s">
        <v>29</v>
      </c>
      <c r="G17" s="68">
        <f>SUM(G9:G16)</f>
        <v>353972588</v>
      </c>
      <c r="H17" s="59">
        <f>SUM(H9:H16)</f>
        <v>2680318.16</v>
      </c>
      <c r="M17" s="91"/>
    </row>
    <row r="18" spans="2:14" x14ac:dyDescent="0.4">
      <c r="B18" s="28"/>
      <c r="C18" t="s">
        <v>237</v>
      </c>
      <c r="G18" s="68">
        <v>-2222445</v>
      </c>
      <c r="H18" s="59">
        <v>-12067.277950000002</v>
      </c>
      <c r="M18" s="91"/>
    </row>
    <row r="19" spans="2:14" x14ac:dyDescent="0.4">
      <c r="B19" s="28"/>
      <c r="C19" t="s">
        <v>238</v>
      </c>
      <c r="G19" s="242"/>
      <c r="H19" s="81">
        <v>-2765.25</v>
      </c>
      <c r="M19" s="91"/>
    </row>
    <row r="20" spans="2:14" x14ac:dyDescent="0.4">
      <c r="B20" s="28"/>
      <c r="C20" t="s">
        <v>239</v>
      </c>
      <c r="G20" s="68">
        <f>SUM(G17:G19)</f>
        <v>351750143</v>
      </c>
      <c r="H20" s="59">
        <f>SUM(H17:H19)</f>
        <v>2665485.6320500001</v>
      </c>
      <c r="M20" s="91"/>
      <c r="N20" s="59">
        <f>H20</f>
        <v>2665485.6320500001</v>
      </c>
    </row>
    <row r="21" spans="2:14" x14ac:dyDescent="0.4">
      <c r="B21" s="28"/>
      <c r="C21" t="s">
        <v>240</v>
      </c>
      <c r="G21" s="242">
        <v>-351750143</v>
      </c>
      <c r="H21" s="81">
        <f>-'SAO - DSC'!L9</f>
        <v>-2518486.6520499997</v>
      </c>
      <c r="M21" s="91"/>
      <c r="N21" s="59">
        <f>H30</f>
        <v>2051.8999999999996</v>
      </c>
    </row>
    <row r="22" spans="2:14" ht="15.4" thickBot="1" x14ac:dyDescent="0.45">
      <c r="B22" s="28"/>
      <c r="C22" t="s">
        <v>142</v>
      </c>
      <c r="G22" s="114">
        <f>SUM(G20:G21)</f>
        <v>0</v>
      </c>
      <c r="H22" s="82">
        <f>SUM(H20:H21)</f>
        <v>146998.98000000045</v>
      </c>
      <c r="M22" s="91"/>
      <c r="N22" s="59">
        <f>SUM(N20:N21)</f>
        <v>2667537.53205</v>
      </c>
    </row>
    <row r="23" spans="2:14" ht="15.4" thickTop="1" x14ac:dyDescent="0.4">
      <c r="B23" s="28"/>
      <c r="M23" s="91"/>
      <c r="N23" s="59">
        <f>-'SAO - DSC'!L59</f>
        <v>-2708679.7363690492</v>
      </c>
    </row>
    <row r="24" spans="2:14" x14ac:dyDescent="0.4">
      <c r="B24" s="28"/>
      <c r="C24" t="s">
        <v>155</v>
      </c>
      <c r="M24" s="91"/>
      <c r="N24" s="59">
        <f>SUM(N22:N23)</f>
        <v>-41142.204319049139</v>
      </c>
    </row>
    <row r="25" spans="2:14" x14ac:dyDescent="0.4">
      <c r="B25" s="28"/>
      <c r="C25" t="s">
        <v>244</v>
      </c>
      <c r="H25" s="59">
        <f>J159</f>
        <v>1349.31</v>
      </c>
      <c r="M25" s="91"/>
    </row>
    <row r="26" spans="2:14" x14ac:dyDescent="0.4">
      <c r="B26" s="28"/>
      <c r="C26" t="s">
        <v>245</v>
      </c>
      <c r="H26" s="59">
        <f>J170</f>
        <v>1274.43</v>
      </c>
      <c r="M26" s="91"/>
    </row>
    <row r="27" spans="2:14" x14ac:dyDescent="0.4">
      <c r="B27" s="28"/>
      <c r="C27" t="s">
        <v>29</v>
      </c>
      <c r="H27" s="81">
        <f>SUM(H25:H26)</f>
        <v>2623.74</v>
      </c>
      <c r="M27" s="91"/>
    </row>
    <row r="28" spans="2:14" x14ac:dyDescent="0.4">
      <c r="B28" s="28"/>
      <c r="C28" t="s">
        <v>237</v>
      </c>
      <c r="H28" s="59">
        <f>J160</f>
        <v>-571.84</v>
      </c>
      <c r="M28" s="91"/>
    </row>
    <row r="29" spans="2:14" x14ac:dyDescent="0.4">
      <c r="B29" s="28"/>
      <c r="C29" t="s">
        <v>238</v>
      </c>
      <c r="H29" s="81">
        <v>0</v>
      </c>
      <c r="M29" s="91"/>
    </row>
    <row r="30" spans="2:14" x14ac:dyDescent="0.4">
      <c r="B30" s="28"/>
      <c r="C30" t="s">
        <v>239</v>
      </c>
      <c r="H30" s="59">
        <f>SUM(H27:H29)</f>
        <v>2051.8999999999996</v>
      </c>
      <c r="M30" s="91"/>
    </row>
    <row r="31" spans="2:14" x14ac:dyDescent="0.4">
      <c r="B31" s="28"/>
      <c r="C31" t="s">
        <v>246</v>
      </c>
      <c r="H31" s="81">
        <v>-41703</v>
      </c>
      <c r="M31" s="91"/>
    </row>
    <row r="32" spans="2:14" ht="15.4" thickBot="1" x14ac:dyDescent="0.45">
      <c r="B32" s="28"/>
      <c r="C32" t="s">
        <v>142</v>
      </c>
      <c r="H32" s="82">
        <f>SUM(H30:H31)</f>
        <v>-39651.1</v>
      </c>
      <c r="M32" s="91"/>
    </row>
    <row r="33" spans="2:13" ht="15.4" thickTop="1" x14ac:dyDescent="0.4">
      <c r="B33" s="28"/>
      <c r="M33" s="91"/>
    </row>
    <row r="34" spans="2:13" x14ac:dyDescent="0.4">
      <c r="B34" s="28"/>
      <c r="C34" t="s">
        <v>229</v>
      </c>
      <c r="M34" s="91"/>
    </row>
    <row r="35" spans="2:13" x14ac:dyDescent="0.4">
      <c r="B35" s="28"/>
      <c r="M35" s="91"/>
    </row>
    <row r="36" spans="2:13" x14ac:dyDescent="0.4">
      <c r="B36" s="28"/>
      <c r="E36" s="112" t="s">
        <v>124</v>
      </c>
      <c r="F36" s="110" t="s">
        <v>125</v>
      </c>
      <c r="G36" s="70">
        <f>D37</f>
        <v>2000</v>
      </c>
      <c r="H36" s="70">
        <f>D38</f>
        <v>8000</v>
      </c>
      <c r="I36" s="70">
        <f>D39</f>
        <v>190000</v>
      </c>
      <c r="J36" s="70">
        <f>D40</f>
        <v>400000</v>
      </c>
      <c r="K36" s="70">
        <f>D41</f>
        <v>600000</v>
      </c>
      <c r="L36" s="112" t="s">
        <v>29</v>
      </c>
      <c r="M36" s="91"/>
    </row>
    <row r="37" spans="2:13" x14ac:dyDescent="0.4">
      <c r="B37" s="28"/>
      <c r="C37" t="s">
        <v>48</v>
      </c>
      <c r="D37" s="68">
        <v>2000</v>
      </c>
      <c r="E37" s="68">
        <v>11392</v>
      </c>
      <c r="F37" s="68">
        <v>10345731</v>
      </c>
      <c r="G37" s="68">
        <f>F37</f>
        <v>10345731</v>
      </c>
      <c r="H37" s="68"/>
      <c r="I37" s="68"/>
      <c r="J37" s="68"/>
      <c r="K37" s="68"/>
      <c r="L37" s="68">
        <f>SUM(G37:K37)</f>
        <v>10345731</v>
      </c>
      <c r="M37" s="91"/>
    </row>
    <row r="38" spans="2:13" x14ac:dyDescent="0.4">
      <c r="B38" s="28"/>
      <c r="C38" t="s">
        <v>49</v>
      </c>
      <c r="D38" s="68">
        <v>8000</v>
      </c>
      <c r="E38" s="68">
        <v>26113</v>
      </c>
      <c r="F38" s="68">
        <v>116419692</v>
      </c>
      <c r="G38" s="68">
        <f>E38*G36</f>
        <v>52226000</v>
      </c>
      <c r="H38" s="68">
        <f>F38-G38</f>
        <v>64193692</v>
      </c>
      <c r="I38" s="68"/>
      <c r="J38" s="68"/>
      <c r="K38" s="68"/>
      <c r="L38" s="68">
        <f t="shared" ref="L38:L41" si="0">SUM(G38:K38)</f>
        <v>116419692</v>
      </c>
      <c r="M38" s="91"/>
    </row>
    <row r="39" spans="2:13" x14ac:dyDescent="0.4">
      <c r="B39" s="28"/>
      <c r="C39" t="s">
        <v>49</v>
      </c>
      <c r="D39" s="68">
        <v>190000</v>
      </c>
      <c r="E39" s="68">
        <v>3105</v>
      </c>
      <c r="F39" s="68">
        <v>59741624</v>
      </c>
      <c r="G39" s="68">
        <f>E39*G36</f>
        <v>6210000</v>
      </c>
      <c r="H39" s="68">
        <f>E39*H36</f>
        <v>24840000</v>
      </c>
      <c r="I39" s="68">
        <f>F39-G39-H39</f>
        <v>28691624</v>
      </c>
      <c r="J39" s="68"/>
      <c r="K39" s="68"/>
      <c r="L39" s="68">
        <f t="shared" si="0"/>
        <v>59741624</v>
      </c>
      <c r="M39" s="91"/>
    </row>
    <row r="40" spans="2:13" x14ac:dyDescent="0.4">
      <c r="B40" s="28"/>
      <c r="C40" t="s">
        <v>49</v>
      </c>
      <c r="D40" s="68">
        <v>400000</v>
      </c>
      <c r="E40" s="68">
        <v>4</v>
      </c>
      <c r="F40" s="68">
        <v>933854</v>
      </c>
      <c r="G40" s="68">
        <f>E40*G36</f>
        <v>8000</v>
      </c>
      <c r="H40" s="68">
        <f>E40*H36</f>
        <v>32000</v>
      </c>
      <c r="I40" s="68">
        <f>E40*I36</f>
        <v>760000</v>
      </c>
      <c r="J40" s="68">
        <f>F40-G40-H40-I40</f>
        <v>133854</v>
      </c>
      <c r="K40" s="68"/>
      <c r="L40" s="68">
        <f t="shared" si="0"/>
        <v>933854</v>
      </c>
      <c r="M40" s="91"/>
    </row>
    <row r="41" spans="2:13" x14ac:dyDescent="0.4">
      <c r="B41" s="28"/>
      <c r="C41" t="s">
        <v>76</v>
      </c>
      <c r="D41" s="68">
        <v>600000</v>
      </c>
      <c r="E41" s="68">
        <v>0</v>
      </c>
      <c r="F41" s="68">
        <v>0</v>
      </c>
      <c r="G41" s="68">
        <f>E41*G36</f>
        <v>0</v>
      </c>
      <c r="H41" s="68">
        <f>E41*H36</f>
        <v>0</v>
      </c>
      <c r="I41" s="68">
        <f>I36*E41</f>
        <v>0</v>
      </c>
      <c r="J41" s="68">
        <f>J36*E41</f>
        <v>0</v>
      </c>
      <c r="K41" s="68">
        <f>F41-G41-H41-I41-J41</f>
        <v>0</v>
      </c>
      <c r="L41" s="68">
        <f t="shared" si="0"/>
        <v>0</v>
      </c>
      <c r="M41" s="91"/>
    </row>
    <row r="42" spans="2:13" ht="15.4" thickBot="1" x14ac:dyDescent="0.45">
      <c r="B42" s="28"/>
      <c r="E42" s="114">
        <f>SUM(E37:E41)</f>
        <v>40614</v>
      </c>
      <c r="F42" s="114">
        <f t="shared" ref="F42:L42" si="1">SUM(F37:F41)</f>
        <v>187440901</v>
      </c>
      <c r="G42" s="114">
        <f t="shared" si="1"/>
        <v>68789731</v>
      </c>
      <c r="H42" s="114">
        <f t="shared" si="1"/>
        <v>89065692</v>
      </c>
      <c r="I42" s="114">
        <f t="shared" si="1"/>
        <v>29451624</v>
      </c>
      <c r="J42" s="114">
        <f t="shared" si="1"/>
        <v>133854</v>
      </c>
      <c r="K42" s="114">
        <f t="shared" si="1"/>
        <v>0</v>
      </c>
      <c r="L42" s="114">
        <f t="shared" si="1"/>
        <v>187440901</v>
      </c>
      <c r="M42" s="91"/>
    </row>
    <row r="43" spans="2:13" ht="15.4" thickTop="1" x14ac:dyDescent="0.4">
      <c r="B43" s="28"/>
      <c r="E43" s="68"/>
      <c r="F43"/>
      <c r="G43"/>
      <c r="H43"/>
      <c r="J43"/>
      <c r="M43" s="91"/>
    </row>
    <row r="44" spans="2:13" x14ac:dyDescent="0.4">
      <c r="B44" s="28"/>
      <c r="C44" t="s">
        <v>48</v>
      </c>
      <c r="D44" s="68">
        <f>D37</f>
        <v>2000</v>
      </c>
      <c r="E44" t="s">
        <v>125</v>
      </c>
      <c r="F44" s="68">
        <f>E42</f>
        <v>40614</v>
      </c>
      <c r="G44" s="68">
        <f>G42</f>
        <v>68789731</v>
      </c>
      <c r="H44" s="93">
        <f>'Rates Comp'!L11</f>
        <v>18.88</v>
      </c>
      <c r="I44" t="s">
        <v>145</v>
      </c>
      <c r="J44" s="68">
        <f>ROUND(F44*H44,2)</f>
        <v>766792.32</v>
      </c>
      <c r="M44" s="91"/>
    </row>
    <row r="45" spans="2:13" x14ac:dyDescent="0.4">
      <c r="B45" s="28"/>
      <c r="C45" t="s">
        <v>49</v>
      </c>
      <c r="D45" s="68">
        <f>D38</f>
        <v>8000</v>
      </c>
      <c r="E45" t="s">
        <v>125</v>
      </c>
      <c r="F45" s="68"/>
      <c r="G45" s="68">
        <f>H42</f>
        <v>89065692</v>
      </c>
      <c r="H45" s="115">
        <f>'Rates Comp'!L12</f>
        <v>6.8199999999999997E-3</v>
      </c>
      <c r="I45" t="s">
        <v>144</v>
      </c>
      <c r="J45" s="68">
        <f>ROUND(G45*H45,2)</f>
        <v>607428.02</v>
      </c>
      <c r="M45" s="91"/>
    </row>
    <row r="46" spans="2:13" x14ac:dyDescent="0.4">
      <c r="B46" s="28"/>
      <c r="C46" t="s">
        <v>49</v>
      </c>
      <c r="D46" s="68">
        <f>D39</f>
        <v>190000</v>
      </c>
      <c r="E46" t="s">
        <v>125</v>
      </c>
      <c r="F46" s="68"/>
      <c r="G46" s="68">
        <f>I42</f>
        <v>29451624</v>
      </c>
      <c r="H46" s="115">
        <f>'Rates Comp'!L13</f>
        <v>6.1200000000000004E-3</v>
      </c>
      <c r="I46" t="s">
        <v>144</v>
      </c>
      <c r="J46" s="68">
        <f t="shared" ref="J46:J48" si="2">ROUND(G46*H46,2)</f>
        <v>180243.94</v>
      </c>
      <c r="M46" s="91"/>
    </row>
    <row r="47" spans="2:13" x14ac:dyDescent="0.4">
      <c r="B47" s="28"/>
      <c r="C47" t="s">
        <v>49</v>
      </c>
      <c r="D47" s="68">
        <f>D40</f>
        <v>400000</v>
      </c>
      <c r="E47" t="s">
        <v>125</v>
      </c>
      <c r="F47" s="68"/>
      <c r="G47" s="68">
        <f>J42</f>
        <v>133854</v>
      </c>
      <c r="H47" s="115">
        <f>'Rates Comp'!L14</f>
        <v>5.7200000000000003E-3</v>
      </c>
      <c r="I47" t="s">
        <v>144</v>
      </c>
      <c r="J47" s="68">
        <f t="shared" si="2"/>
        <v>765.64</v>
      </c>
      <c r="M47" s="91"/>
    </row>
    <row r="48" spans="2:13" x14ac:dyDescent="0.4">
      <c r="B48" s="28"/>
      <c r="C48" t="s">
        <v>76</v>
      </c>
      <c r="D48" s="68">
        <f>D41</f>
        <v>600000</v>
      </c>
      <c r="E48" t="s">
        <v>125</v>
      </c>
      <c r="F48" s="68"/>
      <c r="G48" s="68">
        <f>K42</f>
        <v>0</v>
      </c>
      <c r="H48" s="115">
        <f>'Rates Comp'!L15</f>
        <v>4.2399999999999998E-3</v>
      </c>
      <c r="I48" t="s">
        <v>144</v>
      </c>
      <c r="J48" s="59">
        <f t="shared" si="2"/>
        <v>0</v>
      </c>
      <c r="M48" s="91"/>
    </row>
    <row r="49" spans="2:13" ht="15.4" thickBot="1" x14ac:dyDescent="0.45">
      <c r="B49" s="28"/>
      <c r="C49" t="s">
        <v>241</v>
      </c>
      <c r="E49"/>
      <c r="F49" s="114">
        <f>SUM(F44:F48)</f>
        <v>40614</v>
      </c>
      <c r="G49" s="114">
        <f>SUM(G44:G48)</f>
        <v>187440901</v>
      </c>
      <c r="H49"/>
      <c r="I49"/>
      <c r="J49" s="82">
        <f>SUM(J44:J48)</f>
        <v>1555229.9199999997</v>
      </c>
      <c r="M49" s="91"/>
    </row>
    <row r="50" spans="2:13" ht="15.4" thickTop="1" x14ac:dyDescent="0.4">
      <c r="B50" s="28"/>
      <c r="M50" s="91"/>
    </row>
    <row r="51" spans="2:13" x14ac:dyDescent="0.4">
      <c r="B51" s="28"/>
      <c r="C51" t="s">
        <v>242</v>
      </c>
      <c r="M51" s="91"/>
    </row>
    <row r="52" spans="2:13" x14ac:dyDescent="0.4">
      <c r="B52" s="28"/>
      <c r="D52" s="68"/>
      <c r="E52" s="112" t="s">
        <v>124</v>
      </c>
      <c r="F52" s="110" t="s">
        <v>125</v>
      </c>
      <c r="G52" s="70">
        <f>D53</f>
        <v>5000</v>
      </c>
      <c r="H52" s="70">
        <f>D54</f>
        <v>5000</v>
      </c>
      <c r="I52" s="70">
        <f>D55</f>
        <v>190000</v>
      </c>
      <c r="J52" s="70">
        <f>D56</f>
        <v>400000</v>
      </c>
      <c r="K52" s="70">
        <f>D57</f>
        <v>600000</v>
      </c>
      <c r="L52" s="112" t="s">
        <v>29</v>
      </c>
      <c r="M52" s="91"/>
    </row>
    <row r="53" spans="2:13" x14ac:dyDescent="0.4">
      <c r="B53" s="28"/>
      <c r="C53" t="s">
        <v>48</v>
      </c>
      <c r="D53" s="68">
        <v>5000</v>
      </c>
      <c r="E53" s="68">
        <v>594</v>
      </c>
      <c r="F53" s="68">
        <v>979889</v>
      </c>
      <c r="G53" s="68">
        <f>F53</f>
        <v>979889</v>
      </c>
      <c r="H53" s="68"/>
      <c r="I53" s="68"/>
      <c r="J53" s="68"/>
      <c r="K53" s="68"/>
      <c r="L53" s="68">
        <f>SUM(G53:K53)</f>
        <v>979889</v>
      </c>
      <c r="M53" s="91"/>
    </row>
    <row r="54" spans="2:13" x14ac:dyDescent="0.4">
      <c r="B54" s="28"/>
      <c r="C54" t="s">
        <v>49</v>
      </c>
      <c r="D54" s="68">
        <v>5000</v>
      </c>
      <c r="E54" s="68">
        <v>226</v>
      </c>
      <c r="F54" s="68">
        <v>1661878</v>
      </c>
      <c r="G54" s="68">
        <f>E54*G52</f>
        <v>1130000</v>
      </c>
      <c r="H54" s="68">
        <f>F54-G54</f>
        <v>531878</v>
      </c>
      <c r="I54" s="68"/>
      <c r="J54" s="68"/>
      <c r="K54" s="68"/>
      <c r="L54" s="68">
        <f t="shared" ref="L54:L57" si="3">SUM(G54:K54)</f>
        <v>1661878</v>
      </c>
      <c r="M54" s="91"/>
    </row>
    <row r="55" spans="2:13" x14ac:dyDescent="0.4">
      <c r="B55" s="28"/>
      <c r="C55" t="s">
        <v>49</v>
      </c>
      <c r="D55" s="68">
        <v>190000</v>
      </c>
      <c r="E55" s="68">
        <v>439</v>
      </c>
      <c r="F55" s="68">
        <v>14938510</v>
      </c>
      <c r="G55" s="68">
        <f>E55*G52</f>
        <v>2195000</v>
      </c>
      <c r="H55" s="68">
        <f>E55*H52</f>
        <v>2195000</v>
      </c>
      <c r="I55" s="68">
        <f>F55-G55-H55</f>
        <v>10548510</v>
      </c>
      <c r="J55" s="68"/>
      <c r="K55" s="68"/>
      <c r="L55" s="68">
        <f t="shared" si="3"/>
        <v>14938510</v>
      </c>
      <c r="M55" s="91"/>
    </row>
    <row r="56" spans="2:13" x14ac:dyDescent="0.4">
      <c r="B56" s="28"/>
      <c r="C56" t="s">
        <v>49</v>
      </c>
      <c r="D56" s="68">
        <v>400000</v>
      </c>
      <c r="E56" s="68">
        <v>27</v>
      </c>
      <c r="F56" s="68">
        <v>6708850</v>
      </c>
      <c r="G56" s="68">
        <f>E56*G52</f>
        <v>135000</v>
      </c>
      <c r="H56" s="68">
        <f>E56*H52</f>
        <v>135000</v>
      </c>
      <c r="I56" s="68">
        <f>E56*I52</f>
        <v>5130000</v>
      </c>
      <c r="J56" s="68">
        <f>F56-G56-H56-I56</f>
        <v>1308850</v>
      </c>
      <c r="K56" s="68"/>
      <c r="L56" s="68">
        <f t="shared" si="3"/>
        <v>6708850</v>
      </c>
      <c r="M56" s="91"/>
    </row>
    <row r="57" spans="2:13" x14ac:dyDescent="0.4">
      <c r="B57" s="28"/>
      <c r="C57" t="s">
        <v>76</v>
      </c>
      <c r="D57" s="68">
        <v>600000</v>
      </c>
      <c r="E57" s="68">
        <v>0</v>
      </c>
      <c r="F57" s="68">
        <v>0</v>
      </c>
      <c r="G57" s="68">
        <f>E57*G52</f>
        <v>0</v>
      </c>
      <c r="H57" s="68">
        <f>E57*H52</f>
        <v>0</v>
      </c>
      <c r="I57" s="68">
        <f>I52*E57</f>
        <v>0</v>
      </c>
      <c r="J57" s="68">
        <f>J52*E57</f>
        <v>0</v>
      </c>
      <c r="K57" s="68">
        <f>F57-G57-H57-I57-J57</f>
        <v>0</v>
      </c>
      <c r="L57" s="68">
        <f t="shared" si="3"/>
        <v>0</v>
      </c>
      <c r="M57" s="91"/>
    </row>
    <row r="58" spans="2:13" ht="15.4" thickBot="1" x14ac:dyDescent="0.45">
      <c r="B58" s="28"/>
      <c r="D58" s="68"/>
      <c r="E58" s="114">
        <f>SUM(E53:E57)</f>
        <v>1286</v>
      </c>
      <c r="F58" s="114">
        <f t="shared" ref="F58:L58" si="4">SUM(F53:F57)</f>
        <v>24289127</v>
      </c>
      <c r="G58" s="114">
        <f t="shared" si="4"/>
        <v>4439889</v>
      </c>
      <c r="H58" s="114">
        <f t="shared" si="4"/>
        <v>2861878</v>
      </c>
      <c r="I58" s="114">
        <f t="shared" si="4"/>
        <v>15678510</v>
      </c>
      <c r="J58" s="114">
        <f t="shared" si="4"/>
        <v>1308850</v>
      </c>
      <c r="K58" s="114">
        <f t="shared" si="4"/>
        <v>0</v>
      </c>
      <c r="L58" s="114">
        <f t="shared" si="4"/>
        <v>24289127</v>
      </c>
      <c r="M58" s="91"/>
    </row>
    <row r="59" spans="2:13" ht="15.4" thickTop="1" x14ac:dyDescent="0.4">
      <c r="B59" s="28"/>
      <c r="D59" s="68"/>
      <c r="F59"/>
      <c r="G59"/>
      <c r="H59"/>
      <c r="J59"/>
      <c r="M59" s="91"/>
    </row>
    <row r="60" spans="2:13" x14ac:dyDescent="0.4">
      <c r="B60" s="28"/>
      <c r="C60" t="s">
        <v>48</v>
      </c>
      <c r="D60" s="68">
        <v>5000</v>
      </c>
      <c r="E60" t="s">
        <v>125</v>
      </c>
      <c r="F60" s="68">
        <f>E58</f>
        <v>1286</v>
      </c>
      <c r="G60" s="68">
        <f>G58</f>
        <v>4439889</v>
      </c>
      <c r="H60" s="93">
        <f>'Rates Comp'!L25</f>
        <v>40.51</v>
      </c>
      <c r="I60" t="s">
        <v>145</v>
      </c>
      <c r="J60" s="68">
        <f>ROUND(F60*H60,2)</f>
        <v>52095.86</v>
      </c>
      <c r="M60" s="91"/>
    </row>
    <row r="61" spans="2:13" x14ac:dyDescent="0.4">
      <c r="B61" s="28"/>
      <c r="C61" t="s">
        <v>49</v>
      </c>
      <c r="D61" s="68">
        <v>5000</v>
      </c>
      <c r="E61" t="s">
        <v>125</v>
      </c>
      <c r="F61" s="68"/>
      <c r="G61" s="68">
        <f>H58</f>
        <v>2861878</v>
      </c>
      <c r="H61" s="115">
        <f>'Rates Comp'!L26</f>
        <v>6.8199999999999997E-3</v>
      </c>
      <c r="I61" t="s">
        <v>144</v>
      </c>
      <c r="J61" s="68">
        <f>ROUND(G61*H61,2)</f>
        <v>19518.009999999998</v>
      </c>
      <c r="M61" s="91"/>
    </row>
    <row r="62" spans="2:13" x14ac:dyDescent="0.4">
      <c r="B62" s="28"/>
      <c r="C62" t="s">
        <v>49</v>
      </c>
      <c r="D62" s="68">
        <v>190000</v>
      </c>
      <c r="E62" t="s">
        <v>125</v>
      </c>
      <c r="F62" s="68"/>
      <c r="G62" s="68">
        <f>I58</f>
        <v>15678510</v>
      </c>
      <c r="H62" s="115">
        <f>'Rates Comp'!L27</f>
        <v>6.1200000000000004E-3</v>
      </c>
      <c r="I62" t="s">
        <v>144</v>
      </c>
      <c r="J62" s="68">
        <f t="shared" ref="J62:J64" si="5">ROUND(G62*H62,2)</f>
        <v>95952.48</v>
      </c>
      <c r="M62" s="91"/>
    </row>
    <row r="63" spans="2:13" x14ac:dyDescent="0.4">
      <c r="B63" s="28"/>
      <c r="C63" t="s">
        <v>49</v>
      </c>
      <c r="D63" s="68">
        <v>400000</v>
      </c>
      <c r="E63" t="s">
        <v>125</v>
      </c>
      <c r="F63" s="68"/>
      <c r="G63" s="68">
        <f>J58</f>
        <v>1308850</v>
      </c>
      <c r="H63" s="115">
        <f>'Rates Comp'!L28</f>
        <v>5.7200000000000003E-3</v>
      </c>
      <c r="I63" t="s">
        <v>144</v>
      </c>
      <c r="J63" s="68">
        <f t="shared" si="5"/>
        <v>7486.62</v>
      </c>
      <c r="M63" s="91"/>
    </row>
    <row r="64" spans="2:13" x14ac:dyDescent="0.4">
      <c r="B64" s="28"/>
      <c r="C64" t="s">
        <v>76</v>
      </c>
      <c r="D64" s="68">
        <v>600000</v>
      </c>
      <c r="E64" t="s">
        <v>125</v>
      </c>
      <c r="F64" s="68"/>
      <c r="G64" s="68"/>
      <c r="H64" s="115">
        <f>'Rates Comp'!L29</f>
        <v>4.2399999999999998E-3</v>
      </c>
      <c r="I64" t="s">
        <v>144</v>
      </c>
      <c r="J64" s="59">
        <f t="shared" si="5"/>
        <v>0</v>
      </c>
      <c r="M64" s="91"/>
    </row>
    <row r="65" spans="2:13" ht="15.4" thickBot="1" x14ac:dyDescent="0.45">
      <c r="B65" s="28"/>
      <c r="C65" s="40" t="s">
        <v>476</v>
      </c>
      <c r="D65" s="68"/>
      <c r="E65"/>
      <c r="F65" s="114">
        <f>SUM(F60:F64)</f>
        <v>1286</v>
      </c>
      <c r="G65" s="114">
        <f>SUM(G60:G64)</f>
        <v>24289127</v>
      </c>
      <c r="H65"/>
      <c r="I65"/>
      <c r="J65" s="82">
        <f>SUM(J60:J64)</f>
        <v>175052.96999999997</v>
      </c>
      <c r="M65" s="91"/>
    </row>
    <row r="66" spans="2:13" ht="15.4" thickTop="1" x14ac:dyDescent="0.4">
      <c r="B66" s="28"/>
      <c r="M66" s="91"/>
    </row>
    <row r="67" spans="2:13" x14ac:dyDescent="0.4">
      <c r="B67" s="28"/>
      <c r="C67" t="s">
        <v>243</v>
      </c>
      <c r="M67" s="91"/>
    </row>
    <row r="68" spans="2:13" x14ac:dyDescent="0.4">
      <c r="B68" s="28"/>
      <c r="D68" s="68"/>
      <c r="F68" s="112" t="s">
        <v>124</v>
      </c>
      <c r="G68" s="110" t="s">
        <v>125</v>
      </c>
      <c r="H68" s="70">
        <f>D69</f>
        <v>10000</v>
      </c>
      <c r="I68" s="70">
        <f>D70</f>
        <v>190000</v>
      </c>
      <c r="J68" s="70">
        <f>D71</f>
        <v>400000</v>
      </c>
      <c r="K68" s="70">
        <f>D72</f>
        <v>600000</v>
      </c>
      <c r="L68" s="112" t="s">
        <v>29</v>
      </c>
      <c r="M68" s="91"/>
    </row>
    <row r="69" spans="2:13" x14ac:dyDescent="0.4">
      <c r="B69" s="28"/>
      <c r="C69" t="s">
        <v>48</v>
      </c>
      <c r="D69" s="68">
        <v>10000</v>
      </c>
      <c r="E69" t="s">
        <v>125</v>
      </c>
      <c r="F69" s="68">
        <v>38</v>
      </c>
      <c r="G69" s="68">
        <v>96089</v>
      </c>
      <c r="H69" s="68">
        <f>G69</f>
        <v>96089</v>
      </c>
      <c r="I69" s="68"/>
      <c r="J69" s="68"/>
      <c r="K69" s="68"/>
      <c r="L69" s="68">
        <f>SUM(H69:K69)</f>
        <v>96089</v>
      </c>
      <c r="M69" s="91"/>
    </row>
    <row r="70" spans="2:13" x14ac:dyDescent="0.4">
      <c r="B70" s="28"/>
      <c r="C70" t="s">
        <v>49</v>
      </c>
      <c r="D70" s="68">
        <v>190000</v>
      </c>
      <c r="E70" t="s">
        <v>125</v>
      </c>
      <c r="F70" s="68">
        <v>95</v>
      </c>
      <c r="G70" s="68">
        <v>5370765</v>
      </c>
      <c r="H70" s="68">
        <f>F70*H68</f>
        <v>950000</v>
      </c>
      <c r="I70" s="68">
        <f>G70-H70</f>
        <v>4420765</v>
      </c>
      <c r="J70" s="68"/>
      <c r="K70" s="68"/>
      <c r="L70" s="68">
        <f>SUM(H70:K70)</f>
        <v>5370765</v>
      </c>
      <c r="M70" s="91"/>
    </row>
    <row r="71" spans="2:13" x14ac:dyDescent="0.4">
      <c r="B71" s="28"/>
      <c r="C71" t="s">
        <v>49</v>
      </c>
      <c r="D71" s="68">
        <v>400000</v>
      </c>
      <c r="E71" t="s">
        <v>125</v>
      </c>
      <c r="F71" s="68">
        <v>13</v>
      </c>
      <c r="G71" s="68">
        <v>3883745</v>
      </c>
      <c r="H71" s="68">
        <f>F71*H68</f>
        <v>130000</v>
      </c>
      <c r="I71" s="68">
        <f>F71*I68</f>
        <v>2470000</v>
      </c>
      <c r="J71" s="68">
        <f>G71-H71-I71</f>
        <v>1283745</v>
      </c>
      <c r="K71" s="68"/>
      <c r="L71" s="68">
        <f>SUM(H71:K71)</f>
        <v>3883745</v>
      </c>
      <c r="M71" s="91"/>
    </row>
    <row r="72" spans="2:13" x14ac:dyDescent="0.4">
      <c r="B72" s="28"/>
      <c r="C72" t="s">
        <v>76</v>
      </c>
      <c r="D72" s="68">
        <v>600000</v>
      </c>
      <c r="E72" t="s">
        <v>125</v>
      </c>
      <c r="F72" s="68">
        <v>0</v>
      </c>
      <c r="G72" s="68">
        <v>0</v>
      </c>
      <c r="H72" s="68">
        <f>F72*H68</f>
        <v>0</v>
      </c>
      <c r="I72" s="68">
        <f>I68*F72</f>
        <v>0</v>
      </c>
      <c r="J72" s="68">
        <f>J68*F72</f>
        <v>0</v>
      </c>
      <c r="K72" s="68">
        <f>G72-H72-I72-J72</f>
        <v>0</v>
      </c>
      <c r="L72" s="68">
        <f>SUM(H72:K72)</f>
        <v>0</v>
      </c>
      <c r="M72" s="91"/>
    </row>
    <row r="73" spans="2:13" ht="15.4" thickBot="1" x14ac:dyDescent="0.45">
      <c r="B73" s="28"/>
      <c r="D73" s="68"/>
      <c r="F73" s="114">
        <f t="shared" ref="F73:L73" si="6">SUM(F69:F72)</f>
        <v>146</v>
      </c>
      <c r="G73" s="114">
        <f t="shared" si="6"/>
        <v>9350599</v>
      </c>
      <c r="H73" s="114">
        <f t="shared" si="6"/>
        <v>1176089</v>
      </c>
      <c r="I73" s="114">
        <f t="shared" si="6"/>
        <v>6890765</v>
      </c>
      <c r="J73" s="114">
        <f t="shared" si="6"/>
        <v>1283745</v>
      </c>
      <c r="K73" s="114">
        <f t="shared" si="6"/>
        <v>0</v>
      </c>
      <c r="L73" s="114">
        <f t="shared" si="6"/>
        <v>9350599</v>
      </c>
      <c r="M73" s="91"/>
    </row>
    <row r="74" spans="2:13" ht="15.4" thickTop="1" x14ac:dyDescent="0.4">
      <c r="B74" s="28"/>
      <c r="D74" s="68"/>
      <c r="G74"/>
      <c r="H74"/>
      <c r="I74"/>
      <c r="J74"/>
      <c r="M74" s="91"/>
    </row>
    <row r="75" spans="2:13" x14ac:dyDescent="0.4">
      <c r="B75" s="28"/>
      <c r="C75" t="s">
        <v>48</v>
      </c>
      <c r="D75" s="68">
        <v>10000</v>
      </c>
      <c r="E75" t="s">
        <v>125</v>
      </c>
      <c r="F75" s="68">
        <f>F73</f>
        <v>146</v>
      </c>
      <c r="G75" s="68">
        <f>H73</f>
        <v>1176089</v>
      </c>
      <c r="H75" s="93">
        <f>'Rates Comp'!L32</f>
        <v>81.600000000000009</v>
      </c>
      <c r="I75" t="s">
        <v>145</v>
      </c>
      <c r="J75" s="68">
        <f>ROUND(F75*H75,2)</f>
        <v>11913.6</v>
      </c>
      <c r="K75" s="68"/>
      <c r="M75" s="91"/>
    </row>
    <row r="76" spans="2:13" x14ac:dyDescent="0.4">
      <c r="B76" s="28"/>
      <c r="C76" t="s">
        <v>49</v>
      </c>
      <c r="D76" s="68">
        <v>190000</v>
      </c>
      <c r="E76" t="s">
        <v>125</v>
      </c>
      <c r="F76" s="68"/>
      <c r="G76" s="68">
        <f>I73</f>
        <v>6890765</v>
      </c>
      <c r="H76" s="115">
        <f>'Rates Comp'!L33</f>
        <v>6.1200000000000004E-3</v>
      </c>
      <c r="I76" t="s">
        <v>144</v>
      </c>
      <c r="J76" s="68">
        <f t="shared" ref="J76:J78" si="7">ROUND(G76*H76,2)</f>
        <v>42171.48</v>
      </c>
      <c r="K76" s="68"/>
      <c r="M76" s="91"/>
    </row>
    <row r="77" spans="2:13" x14ac:dyDescent="0.4">
      <c r="B77" s="28"/>
      <c r="C77" t="s">
        <v>49</v>
      </c>
      <c r="D77" s="68">
        <v>400000</v>
      </c>
      <c r="E77" t="s">
        <v>125</v>
      </c>
      <c r="F77" s="68"/>
      <c r="G77" s="68">
        <f>J73</f>
        <v>1283745</v>
      </c>
      <c r="H77" s="115">
        <f>'Rates Comp'!L34</f>
        <v>5.7200000000000003E-3</v>
      </c>
      <c r="I77" t="s">
        <v>144</v>
      </c>
      <c r="J77" s="68">
        <f t="shared" si="7"/>
        <v>7343.02</v>
      </c>
      <c r="K77" s="68"/>
      <c r="M77" s="91"/>
    </row>
    <row r="78" spans="2:13" x14ac:dyDescent="0.4">
      <c r="B78" s="28"/>
      <c r="C78" t="s">
        <v>76</v>
      </c>
      <c r="D78" s="68">
        <v>600000</v>
      </c>
      <c r="E78" t="s">
        <v>125</v>
      </c>
      <c r="F78" s="68"/>
      <c r="G78" s="68"/>
      <c r="H78" s="115">
        <f>'Rates Comp'!L35</f>
        <v>4.2399999999999998E-3</v>
      </c>
      <c r="I78" t="s">
        <v>144</v>
      </c>
      <c r="J78" s="81">
        <f t="shared" si="7"/>
        <v>0</v>
      </c>
      <c r="K78" s="68"/>
      <c r="M78" s="91"/>
    </row>
    <row r="79" spans="2:13" ht="15.4" thickBot="1" x14ac:dyDescent="0.45">
      <c r="B79" s="28"/>
      <c r="C79" t="s">
        <v>241</v>
      </c>
      <c r="D79" s="68"/>
      <c r="F79" s="114">
        <f>SUM(F75:F78)</f>
        <v>146</v>
      </c>
      <c r="G79" s="114">
        <f>SUM(G75:G78)</f>
        <v>9350599</v>
      </c>
      <c r="H79"/>
      <c r="I79"/>
      <c r="J79" s="82">
        <f>SUM(J75:J78)</f>
        <v>61428.100000000006</v>
      </c>
      <c r="K79" s="68"/>
      <c r="M79" s="91"/>
    </row>
    <row r="80" spans="2:13" ht="15.4" thickTop="1" x14ac:dyDescent="0.4">
      <c r="B80" s="97"/>
      <c r="C80" s="57"/>
      <c r="D80" s="57"/>
      <c r="E80" s="81"/>
      <c r="F80" s="81"/>
      <c r="G80" s="81"/>
      <c r="H80" s="81"/>
      <c r="I80" s="81"/>
      <c r="J80" s="81"/>
      <c r="K80" s="81"/>
      <c r="L80" s="81"/>
      <c r="M80" s="98"/>
    </row>
    <row r="81" spans="2:13" ht="18" x14ac:dyDescent="0.55000000000000004">
      <c r="B81" s="28"/>
      <c r="C81" s="508" t="s">
        <v>475</v>
      </c>
      <c r="D81" s="508"/>
      <c r="E81" s="508"/>
      <c r="F81" s="508"/>
      <c r="G81" s="508"/>
      <c r="H81" s="508"/>
      <c r="I81" s="508"/>
      <c r="J81" s="508"/>
      <c r="K81" s="508"/>
      <c r="L81" s="508"/>
      <c r="M81" s="91"/>
    </row>
    <row r="82" spans="2:13" ht="18" x14ac:dyDescent="0.55000000000000004">
      <c r="B82" s="28"/>
      <c r="C82" s="445"/>
      <c r="D82" s="445"/>
      <c r="E82" s="445"/>
      <c r="F82" s="445"/>
      <c r="G82" s="445"/>
      <c r="H82" s="445"/>
      <c r="I82" s="445"/>
      <c r="J82" s="445"/>
      <c r="K82" s="445"/>
      <c r="L82" s="445"/>
      <c r="M82" s="91"/>
    </row>
    <row r="83" spans="2:13" x14ac:dyDescent="0.4">
      <c r="B83" s="28"/>
      <c r="C83" t="s">
        <v>232</v>
      </c>
      <c r="M83" s="91"/>
    </row>
    <row r="84" spans="2:13" x14ac:dyDescent="0.4">
      <c r="B84" s="28"/>
      <c r="D84" s="68"/>
      <c r="E84" s="112" t="s">
        <v>124</v>
      </c>
      <c r="F84" s="110" t="s">
        <v>125</v>
      </c>
      <c r="G84" s="70">
        <f>D85</f>
        <v>16000</v>
      </c>
      <c r="H84" s="70">
        <f>D86</f>
        <v>184000</v>
      </c>
      <c r="I84" s="70">
        <f>D87</f>
        <v>400000</v>
      </c>
      <c r="J84" s="70">
        <f>D88</f>
        <v>600000</v>
      </c>
      <c r="K84" s="112" t="s">
        <v>29</v>
      </c>
      <c r="M84" s="91"/>
    </row>
    <row r="85" spans="2:13" x14ac:dyDescent="0.4">
      <c r="B85" s="28"/>
      <c r="C85" t="s">
        <v>48</v>
      </c>
      <c r="D85" s="68">
        <v>16000</v>
      </c>
      <c r="E85" s="68">
        <v>98</v>
      </c>
      <c r="F85" s="68">
        <v>227752</v>
      </c>
      <c r="G85" s="68">
        <f>F85</f>
        <v>227752</v>
      </c>
      <c r="H85" s="68"/>
      <c r="I85" s="68"/>
      <c r="J85" s="68"/>
      <c r="K85" s="68">
        <f>SUM(G85:J85)</f>
        <v>227752</v>
      </c>
      <c r="M85" s="91"/>
    </row>
    <row r="86" spans="2:13" x14ac:dyDescent="0.4">
      <c r="B86" s="28"/>
      <c r="C86" t="s">
        <v>49</v>
      </c>
      <c r="D86" s="68">
        <v>184000</v>
      </c>
      <c r="E86" s="68">
        <v>314</v>
      </c>
      <c r="F86" s="68">
        <v>18818275</v>
      </c>
      <c r="G86" s="68">
        <f>E86*G84</f>
        <v>5024000</v>
      </c>
      <c r="H86" s="68">
        <f>F86-G86</f>
        <v>13794275</v>
      </c>
      <c r="I86" s="68"/>
      <c r="J86" s="68"/>
      <c r="K86" s="68">
        <f>SUM(G86:J86)</f>
        <v>18818275</v>
      </c>
      <c r="M86" s="91"/>
    </row>
    <row r="87" spans="2:13" x14ac:dyDescent="0.4">
      <c r="B87" s="28"/>
      <c r="C87" t="s">
        <v>49</v>
      </c>
      <c r="D87" s="68">
        <v>400000</v>
      </c>
      <c r="E87" s="68">
        <v>30</v>
      </c>
      <c r="F87" s="68">
        <v>9822057</v>
      </c>
      <c r="G87" s="68">
        <f>E87*G84</f>
        <v>480000</v>
      </c>
      <c r="H87" s="68">
        <f>E87*H84</f>
        <v>5520000</v>
      </c>
      <c r="I87" s="68">
        <f>F87-G87-H87</f>
        <v>3822057</v>
      </c>
      <c r="J87" s="68"/>
      <c r="K87" s="68">
        <f>SUM(G87:J87)</f>
        <v>9822057</v>
      </c>
      <c r="M87" s="91"/>
    </row>
    <row r="88" spans="2:13" x14ac:dyDescent="0.4">
      <c r="B88" s="28"/>
      <c r="C88" t="s">
        <v>76</v>
      </c>
      <c r="D88" s="68">
        <v>600000</v>
      </c>
      <c r="E88" s="68">
        <v>26</v>
      </c>
      <c r="F88" s="68">
        <v>22756129</v>
      </c>
      <c r="G88" s="68">
        <f>E88*G84</f>
        <v>416000</v>
      </c>
      <c r="H88" s="68">
        <f>H84*E88</f>
        <v>4784000</v>
      </c>
      <c r="I88" s="68">
        <f>I84*E88</f>
        <v>10400000</v>
      </c>
      <c r="J88" s="68">
        <f>F88-G88-H88-I88</f>
        <v>7156129</v>
      </c>
      <c r="K88" s="68">
        <f>SUM(G88:J88)</f>
        <v>22756129</v>
      </c>
      <c r="M88" s="91"/>
    </row>
    <row r="89" spans="2:13" ht="15.4" thickBot="1" x14ac:dyDescent="0.45">
      <c r="B89" s="28"/>
      <c r="D89" s="68"/>
      <c r="E89" s="114">
        <f t="shared" ref="E89:K89" si="8">SUM(E85:E88)</f>
        <v>468</v>
      </c>
      <c r="F89" s="114">
        <f t="shared" si="8"/>
        <v>51624213</v>
      </c>
      <c r="G89" s="114">
        <f t="shared" si="8"/>
        <v>6147752</v>
      </c>
      <c r="H89" s="114">
        <f t="shared" si="8"/>
        <v>24098275</v>
      </c>
      <c r="I89" s="114">
        <f t="shared" si="8"/>
        <v>14222057</v>
      </c>
      <c r="J89" s="114">
        <f t="shared" si="8"/>
        <v>7156129</v>
      </c>
      <c r="K89" s="114">
        <f t="shared" si="8"/>
        <v>51624213</v>
      </c>
      <c r="M89" s="91"/>
    </row>
    <row r="90" spans="2:13" ht="15.4" thickTop="1" x14ac:dyDescent="0.4">
      <c r="B90" s="28"/>
      <c r="D90" s="68"/>
      <c r="E90" s="68"/>
      <c r="G90"/>
      <c r="H90"/>
      <c r="I90"/>
      <c r="J90"/>
      <c r="M90" s="91"/>
    </row>
    <row r="91" spans="2:13" x14ac:dyDescent="0.4">
      <c r="B91" s="28"/>
      <c r="C91" t="s">
        <v>48</v>
      </c>
      <c r="D91" s="68">
        <v>16000</v>
      </c>
      <c r="E91" t="s">
        <v>125</v>
      </c>
      <c r="F91" s="68">
        <f>E89</f>
        <v>468</v>
      </c>
      <c r="G91" s="68">
        <f>G89</f>
        <v>6147752</v>
      </c>
      <c r="H91" s="93">
        <f>'Rates Comp'!L38</f>
        <v>120.02000000000001</v>
      </c>
      <c r="I91" t="s">
        <v>145</v>
      </c>
      <c r="J91" s="68">
        <f>ROUND(F91*H91,2)</f>
        <v>56169.36</v>
      </c>
      <c r="K91" s="68"/>
      <c r="M91" s="91"/>
    </row>
    <row r="92" spans="2:13" x14ac:dyDescent="0.4">
      <c r="B92" s="28"/>
      <c r="C92" t="s">
        <v>49</v>
      </c>
      <c r="D92" s="68">
        <v>184000</v>
      </c>
      <c r="E92" t="s">
        <v>125</v>
      </c>
      <c r="F92" s="68"/>
      <c r="G92" s="68">
        <f>H89</f>
        <v>24098275</v>
      </c>
      <c r="H92" s="115">
        <f>'Rates Comp'!L39</f>
        <v>6.1200000000000004E-3</v>
      </c>
      <c r="I92" t="s">
        <v>144</v>
      </c>
      <c r="J92" s="68">
        <f t="shared" ref="J92:J94" si="9">ROUND(G92*H92,2)</f>
        <v>147481.44</v>
      </c>
      <c r="K92" s="68"/>
      <c r="M92" s="91"/>
    </row>
    <row r="93" spans="2:13" x14ac:dyDescent="0.4">
      <c r="B93" s="28"/>
      <c r="C93" t="s">
        <v>49</v>
      </c>
      <c r="D93" s="68">
        <v>400000</v>
      </c>
      <c r="E93" t="s">
        <v>125</v>
      </c>
      <c r="F93" s="68"/>
      <c r="G93" s="68">
        <f>I89</f>
        <v>14222057</v>
      </c>
      <c r="H93" s="115">
        <f>'Rates Comp'!L40</f>
        <v>5.7200000000000003E-3</v>
      </c>
      <c r="I93" t="s">
        <v>144</v>
      </c>
      <c r="J93" s="68">
        <f t="shared" si="9"/>
        <v>81350.17</v>
      </c>
      <c r="K93" s="68"/>
      <c r="M93" s="91"/>
    </row>
    <row r="94" spans="2:13" x14ac:dyDescent="0.4">
      <c r="B94" s="28"/>
      <c r="C94" t="s">
        <v>76</v>
      </c>
      <c r="D94" s="68">
        <v>600000</v>
      </c>
      <c r="E94" t="s">
        <v>125</v>
      </c>
      <c r="F94" s="68"/>
      <c r="G94" s="68">
        <f>J89</f>
        <v>7156129</v>
      </c>
      <c r="H94" s="115">
        <f>'Rates Comp'!L41</f>
        <v>4.2399999999999998E-3</v>
      </c>
      <c r="I94" t="s">
        <v>144</v>
      </c>
      <c r="J94" s="81">
        <f t="shared" si="9"/>
        <v>30341.99</v>
      </c>
      <c r="K94" s="68"/>
      <c r="M94" s="91"/>
    </row>
    <row r="95" spans="2:13" ht="15.4" thickBot="1" x14ac:dyDescent="0.45">
      <c r="B95" s="28"/>
      <c r="C95" t="s">
        <v>241</v>
      </c>
      <c r="D95" s="68"/>
      <c r="E95"/>
      <c r="F95" s="114">
        <f>SUM(F91:F94)</f>
        <v>468</v>
      </c>
      <c r="G95" s="114">
        <f>SUM(G91:G94)</f>
        <v>51624213</v>
      </c>
      <c r="H95"/>
      <c r="I95"/>
      <c r="J95" s="82">
        <f>SUM(J91:J94)</f>
        <v>315342.95999999996</v>
      </c>
      <c r="K95" s="68"/>
      <c r="M95" s="91"/>
    </row>
    <row r="96" spans="2:13" ht="15.4" thickTop="1" x14ac:dyDescent="0.4">
      <c r="B96" s="28"/>
      <c r="M96" s="91"/>
    </row>
    <row r="97" spans="2:13" x14ac:dyDescent="0.4">
      <c r="B97" s="28"/>
      <c r="C97" t="s">
        <v>233</v>
      </c>
      <c r="M97" s="91"/>
    </row>
    <row r="98" spans="2:13" x14ac:dyDescent="0.4">
      <c r="B98" s="28"/>
      <c r="D98" s="68"/>
      <c r="E98" s="112" t="s">
        <v>124</v>
      </c>
      <c r="F98" s="110" t="s">
        <v>125</v>
      </c>
      <c r="G98" s="70">
        <f>D99</f>
        <v>30000</v>
      </c>
      <c r="H98" s="70">
        <f>D100</f>
        <v>170000</v>
      </c>
      <c r="I98" s="70">
        <f>D101</f>
        <v>400000</v>
      </c>
      <c r="J98" s="70">
        <f>D102</f>
        <v>600000</v>
      </c>
      <c r="K98" s="112" t="s">
        <v>29</v>
      </c>
      <c r="M98" s="91"/>
    </row>
    <row r="99" spans="2:13" x14ac:dyDescent="0.4">
      <c r="B99" s="28"/>
      <c r="C99" t="s">
        <v>48</v>
      </c>
      <c r="D99" s="68">
        <v>30000</v>
      </c>
      <c r="E99" s="68">
        <v>0</v>
      </c>
      <c r="F99" s="68">
        <v>0</v>
      </c>
      <c r="G99" s="68">
        <f>F99</f>
        <v>0</v>
      </c>
      <c r="H99" s="68"/>
      <c r="I99" s="68"/>
      <c r="J99" s="68"/>
      <c r="K99" s="68">
        <f>SUM(G99:J99)</f>
        <v>0</v>
      </c>
      <c r="L99" s="59">
        <v>0</v>
      </c>
      <c r="M99" s="91"/>
    </row>
    <row r="100" spans="2:13" x14ac:dyDescent="0.4">
      <c r="B100" s="28"/>
      <c r="C100" t="s">
        <v>49</v>
      </c>
      <c r="D100" s="68">
        <v>170000</v>
      </c>
      <c r="E100" s="68">
        <v>23</v>
      </c>
      <c r="F100" s="68">
        <v>2773900</v>
      </c>
      <c r="G100" s="68">
        <f>E100*G98</f>
        <v>690000</v>
      </c>
      <c r="H100" s="68">
        <f>F100-G100</f>
        <v>2083900</v>
      </c>
      <c r="I100" s="68"/>
      <c r="J100" s="68"/>
      <c r="K100" s="68">
        <f>SUM(G100:J100)</f>
        <v>2773900</v>
      </c>
      <c r="L100" s="59">
        <v>2399900</v>
      </c>
      <c r="M100" s="91"/>
    </row>
    <row r="101" spans="2:13" x14ac:dyDescent="0.4">
      <c r="B101" s="28"/>
      <c r="C101" t="s">
        <v>49</v>
      </c>
      <c r="D101" s="68">
        <v>400000</v>
      </c>
      <c r="E101" s="68">
        <v>1</v>
      </c>
      <c r="F101" s="68">
        <v>209400</v>
      </c>
      <c r="G101" s="68">
        <f>E101*G98</f>
        <v>30000</v>
      </c>
      <c r="H101" s="68">
        <f>E101*H98</f>
        <v>170000</v>
      </c>
      <c r="I101" s="68">
        <f>F101-G101-H101</f>
        <v>9400</v>
      </c>
      <c r="J101" s="68"/>
      <c r="K101" s="68">
        <f>SUM(G101:J101)</f>
        <v>209400</v>
      </c>
      <c r="L101" s="59">
        <v>2983300</v>
      </c>
      <c r="M101" s="91"/>
    </row>
    <row r="102" spans="2:13" x14ac:dyDescent="0.4">
      <c r="B102" s="28"/>
      <c r="C102" t="s">
        <v>76</v>
      </c>
      <c r="D102" s="68">
        <v>600000</v>
      </c>
      <c r="E102" s="68">
        <v>0</v>
      </c>
      <c r="F102" s="68">
        <v>0</v>
      </c>
      <c r="G102" s="68">
        <f>E102*G98</f>
        <v>0</v>
      </c>
      <c r="H102" s="68">
        <f>H98*E102</f>
        <v>0</v>
      </c>
      <c r="I102" s="68">
        <f>I98*E102</f>
        <v>0</v>
      </c>
      <c r="J102" s="68">
        <f>F102-G102-H102-I102</f>
        <v>0</v>
      </c>
      <c r="K102" s="68">
        <f>SUM(G102:J102)</f>
        <v>0</v>
      </c>
      <c r="L102" s="59">
        <v>0</v>
      </c>
      <c r="M102" s="91"/>
    </row>
    <row r="103" spans="2:13" ht="15.4" thickBot="1" x14ac:dyDescent="0.45">
      <c r="B103" s="28"/>
      <c r="D103" s="68"/>
      <c r="E103" s="114">
        <f t="shared" ref="E103:K103" si="10">SUM(E99:E102)</f>
        <v>24</v>
      </c>
      <c r="F103" s="114">
        <f t="shared" si="10"/>
        <v>2983300</v>
      </c>
      <c r="G103" s="114">
        <f t="shared" si="10"/>
        <v>720000</v>
      </c>
      <c r="H103" s="114">
        <f t="shared" si="10"/>
        <v>2253900</v>
      </c>
      <c r="I103" s="114">
        <f t="shared" si="10"/>
        <v>9400</v>
      </c>
      <c r="J103" s="114">
        <f t="shared" si="10"/>
        <v>0</v>
      </c>
      <c r="K103" s="114">
        <f t="shared" si="10"/>
        <v>2983300</v>
      </c>
      <c r="L103" s="59">
        <v>5383200</v>
      </c>
      <c r="M103" s="91"/>
    </row>
    <row r="104" spans="2:13" ht="15.4" thickTop="1" x14ac:dyDescent="0.4">
      <c r="B104" s="28"/>
      <c r="D104" s="68"/>
      <c r="E104" s="68"/>
      <c r="G104"/>
      <c r="H104"/>
      <c r="I104"/>
      <c r="J104"/>
      <c r="M104" s="91"/>
    </row>
    <row r="105" spans="2:13" x14ac:dyDescent="0.4">
      <c r="B105" s="28"/>
      <c r="D105" s="68"/>
      <c r="E105"/>
      <c r="F105" s="68"/>
      <c r="G105" s="68"/>
      <c r="H105" s="68"/>
      <c r="I105" s="68"/>
      <c r="J105" s="68"/>
      <c r="K105" s="68"/>
      <c r="M105" s="91"/>
    </row>
    <row r="106" spans="2:13" x14ac:dyDescent="0.4">
      <c r="B106" s="28"/>
      <c r="C106" t="s">
        <v>48</v>
      </c>
      <c r="D106" s="68">
        <v>30000</v>
      </c>
      <c r="E106" t="s">
        <v>125</v>
      </c>
      <c r="F106" s="68">
        <f>E103</f>
        <v>24</v>
      </c>
      <c r="G106" s="68">
        <f>G103</f>
        <v>720000</v>
      </c>
      <c r="H106" s="93">
        <f>'Rates Comp'!L44</f>
        <v>237</v>
      </c>
      <c r="I106" t="s">
        <v>145</v>
      </c>
      <c r="J106" s="68">
        <f>ROUND(F106*H106,2)</f>
        <v>5688</v>
      </c>
      <c r="K106" s="68"/>
      <c r="M106" s="91"/>
    </row>
    <row r="107" spans="2:13" x14ac:dyDescent="0.4">
      <c r="B107" s="28"/>
      <c r="C107" t="s">
        <v>49</v>
      </c>
      <c r="D107" s="68">
        <v>170000</v>
      </c>
      <c r="E107" t="s">
        <v>125</v>
      </c>
      <c r="F107" s="68"/>
      <c r="G107" s="68">
        <f>H103</f>
        <v>2253900</v>
      </c>
      <c r="H107" s="115">
        <f>'Rates Comp'!L45</f>
        <v>6.1200000000000004E-3</v>
      </c>
      <c r="I107" t="s">
        <v>144</v>
      </c>
      <c r="J107" s="68">
        <f t="shared" ref="J107:J109" si="11">ROUND(G107*H107,2)</f>
        <v>13793.87</v>
      </c>
      <c r="K107" s="68"/>
      <c r="M107" s="91"/>
    </row>
    <row r="108" spans="2:13" x14ac:dyDescent="0.4">
      <c r="B108" s="28"/>
      <c r="C108" t="s">
        <v>49</v>
      </c>
      <c r="D108" s="68">
        <v>400000</v>
      </c>
      <c r="E108" t="s">
        <v>125</v>
      </c>
      <c r="F108" s="68"/>
      <c r="G108" s="68">
        <f>I103</f>
        <v>9400</v>
      </c>
      <c r="H108" s="115">
        <f>'Rates Comp'!L46</f>
        <v>5.7200000000000003E-3</v>
      </c>
      <c r="I108" t="s">
        <v>144</v>
      </c>
      <c r="J108" s="68">
        <f t="shared" si="11"/>
        <v>53.77</v>
      </c>
      <c r="K108" s="68"/>
      <c r="M108" s="91"/>
    </row>
    <row r="109" spans="2:13" x14ac:dyDescent="0.4">
      <c r="B109" s="28"/>
      <c r="C109" t="s">
        <v>76</v>
      </c>
      <c r="D109" s="68">
        <v>600000</v>
      </c>
      <c r="E109" t="s">
        <v>125</v>
      </c>
      <c r="F109" s="68"/>
      <c r="G109" s="68">
        <f>J103</f>
        <v>0</v>
      </c>
      <c r="H109" s="115">
        <f>'Rates Comp'!L47</f>
        <v>4.2399999999999998E-3</v>
      </c>
      <c r="I109" t="s">
        <v>144</v>
      </c>
      <c r="J109" s="81">
        <f t="shared" si="11"/>
        <v>0</v>
      </c>
      <c r="K109" s="68"/>
      <c r="M109" s="91"/>
    </row>
    <row r="110" spans="2:13" ht="15.4" thickBot="1" x14ac:dyDescent="0.45">
      <c r="B110" s="28"/>
      <c r="C110" t="s">
        <v>241</v>
      </c>
      <c r="D110" s="68"/>
      <c r="E110"/>
      <c r="F110" s="114">
        <f>SUM(F106:F109)</f>
        <v>24</v>
      </c>
      <c r="G110" s="114">
        <f>SUM(G106:G109)</f>
        <v>2983300</v>
      </c>
      <c r="H110"/>
      <c r="I110"/>
      <c r="J110" s="59">
        <f>SUM(J106:J109)</f>
        <v>19535.640000000003</v>
      </c>
      <c r="K110" s="68"/>
      <c r="M110" s="91"/>
    </row>
    <row r="111" spans="2:13" ht="15.4" thickTop="1" x14ac:dyDescent="0.4">
      <c r="B111" s="28"/>
      <c r="M111" s="91"/>
    </row>
    <row r="112" spans="2:13" x14ac:dyDescent="0.4">
      <c r="B112" s="28"/>
      <c r="C112" t="s">
        <v>234</v>
      </c>
      <c r="M112" s="91"/>
    </row>
    <row r="113" spans="2:13" x14ac:dyDescent="0.4">
      <c r="B113" s="28"/>
      <c r="D113" s="68"/>
      <c r="E113" s="112" t="s">
        <v>124</v>
      </c>
      <c r="F113" s="110" t="s">
        <v>125</v>
      </c>
      <c r="G113" s="70">
        <f>D114</f>
        <v>50000</v>
      </c>
      <c r="H113" s="70">
        <f>D115</f>
        <v>150000</v>
      </c>
      <c r="I113" s="70">
        <f>D116</f>
        <v>400000</v>
      </c>
      <c r="J113" s="70">
        <f>D117</f>
        <v>600000</v>
      </c>
      <c r="M113" s="91"/>
    </row>
    <row r="114" spans="2:13" x14ac:dyDescent="0.4">
      <c r="B114" s="28"/>
      <c r="C114" t="s">
        <v>48</v>
      </c>
      <c r="D114" s="68">
        <v>50000</v>
      </c>
      <c r="E114" s="68">
        <v>87</v>
      </c>
      <c r="F114" s="68">
        <v>1309623</v>
      </c>
      <c r="G114" s="68">
        <f>F114</f>
        <v>1309623</v>
      </c>
      <c r="H114" s="68"/>
      <c r="I114" s="68"/>
      <c r="J114" s="68"/>
      <c r="M114" s="91"/>
    </row>
    <row r="115" spans="2:13" x14ac:dyDescent="0.4">
      <c r="B115" s="28"/>
      <c r="C115" t="s">
        <v>49</v>
      </c>
      <c r="D115" s="68">
        <v>150000</v>
      </c>
      <c r="E115" s="68">
        <v>33</v>
      </c>
      <c r="F115" s="68">
        <v>3138767</v>
      </c>
      <c r="G115" s="68">
        <f>E115*G113</f>
        <v>1650000</v>
      </c>
      <c r="H115" s="68">
        <f>F115-G115</f>
        <v>1488767</v>
      </c>
      <c r="I115" s="68"/>
      <c r="J115" s="68"/>
      <c r="M115" s="91"/>
    </row>
    <row r="116" spans="2:13" x14ac:dyDescent="0.4">
      <c r="B116" s="28"/>
      <c r="C116" t="s">
        <v>49</v>
      </c>
      <c r="D116" s="68">
        <v>400000</v>
      </c>
      <c r="E116" s="68">
        <v>27</v>
      </c>
      <c r="F116" s="68">
        <v>10766326</v>
      </c>
      <c r="G116" s="68">
        <f>E116*G113</f>
        <v>1350000</v>
      </c>
      <c r="H116" s="68">
        <f>E116*H113</f>
        <v>4050000</v>
      </c>
      <c r="I116" s="68">
        <f>F116-G116-H116</f>
        <v>5366326</v>
      </c>
      <c r="J116" s="68"/>
      <c r="M116" s="91"/>
    </row>
    <row r="117" spans="2:13" x14ac:dyDescent="0.4">
      <c r="B117" s="28"/>
      <c r="C117" t="s">
        <v>76</v>
      </c>
      <c r="D117" s="68">
        <v>600000</v>
      </c>
      <c r="E117" s="68">
        <v>9</v>
      </c>
      <c r="F117" s="68">
        <v>12377997</v>
      </c>
      <c r="G117" s="68">
        <f>E117*G113</f>
        <v>450000</v>
      </c>
      <c r="H117" s="68">
        <f>H113*E117</f>
        <v>1350000</v>
      </c>
      <c r="I117" s="68">
        <f>I113*E117</f>
        <v>3600000</v>
      </c>
      <c r="J117" s="68">
        <f>F117-G117-H117-I117</f>
        <v>6977997</v>
      </c>
      <c r="M117" s="91"/>
    </row>
    <row r="118" spans="2:13" ht="15.4" thickBot="1" x14ac:dyDescent="0.45">
      <c r="B118" s="28"/>
      <c r="D118" s="68"/>
      <c r="E118" s="114">
        <f t="shared" ref="E118:J118" si="12">SUM(E114:E117)</f>
        <v>156</v>
      </c>
      <c r="F118" s="114">
        <f t="shared" si="12"/>
        <v>27592713</v>
      </c>
      <c r="G118" s="114">
        <f t="shared" si="12"/>
        <v>4759623</v>
      </c>
      <c r="H118" s="114">
        <f t="shared" si="12"/>
        <v>6888767</v>
      </c>
      <c r="I118" s="114">
        <f t="shared" si="12"/>
        <v>8966326</v>
      </c>
      <c r="J118" s="114">
        <f t="shared" si="12"/>
        <v>6977997</v>
      </c>
      <c r="M118" s="91"/>
    </row>
    <row r="119" spans="2:13" ht="15.4" thickTop="1" x14ac:dyDescent="0.4">
      <c r="B119" s="28"/>
      <c r="D119" s="68"/>
      <c r="E119" s="68"/>
      <c r="F119" s="68"/>
      <c r="G119"/>
      <c r="H119"/>
      <c r="I119"/>
      <c r="J119"/>
      <c r="M119" s="91"/>
    </row>
    <row r="120" spans="2:13" x14ac:dyDescent="0.4">
      <c r="B120" s="28"/>
      <c r="D120" s="68"/>
      <c r="E120"/>
      <c r="F120" s="68"/>
      <c r="G120" s="68"/>
      <c r="H120" s="68"/>
      <c r="I120" s="68"/>
      <c r="J120" s="68"/>
      <c r="M120" s="91"/>
    </row>
    <row r="121" spans="2:13" x14ac:dyDescent="0.4">
      <c r="B121" s="28"/>
      <c r="C121" t="s">
        <v>48</v>
      </c>
      <c r="D121" s="68">
        <v>50000</v>
      </c>
      <c r="E121" t="s">
        <v>125</v>
      </c>
      <c r="F121" s="68">
        <f>E118</f>
        <v>156</v>
      </c>
      <c r="G121" s="68">
        <f>G118</f>
        <v>4759623</v>
      </c>
      <c r="H121" s="93">
        <f>'Rates Comp'!L50</f>
        <v>366.21000000000004</v>
      </c>
      <c r="I121" t="s">
        <v>145</v>
      </c>
      <c r="J121" s="59">
        <f>ROUND(F121*H121,2)</f>
        <v>57128.76</v>
      </c>
      <c r="M121" s="91"/>
    </row>
    <row r="122" spans="2:13" x14ac:dyDescent="0.4">
      <c r="B122" s="28"/>
      <c r="C122" t="s">
        <v>49</v>
      </c>
      <c r="D122" s="68">
        <v>150000</v>
      </c>
      <c r="E122" t="s">
        <v>125</v>
      </c>
      <c r="F122" s="68"/>
      <c r="G122" s="68">
        <f>H118</f>
        <v>6888767</v>
      </c>
      <c r="H122" s="115">
        <f>'Rates Comp'!L51</f>
        <v>6.1200000000000004E-3</v>
      </c>
      <c r="I122" t="s">
        <v>144</v>
      </c>
      <c r="J122" s="59">
        <f t="shared" ref="J122:J124" si="13">ROUND(G122*H122,2)</f>
        <v>42159.25</v>
      </c>
      <c r="M122" s="91"/>
    </row>
    <row r="123" spans="2:13" x14ac:dyDescent="0.4">
      <c r="B123" s="28"/>
      <c r="C123" t="s">
        <v>49</v>
      </c>
      <c r="D123" s="68">
        <v>400000</v>
      </c>
      <c r="E123" t="s">
        <v>125</v>
      </c>
      <c r="F123" s="68"/>
      <c r="G123" s="68">
        <f>I118</f>
        <v>8966326</v>
      </c>
      <c r="H123" s="115">
        <f>'Rates Comp'!L52</f>
        <v>5.7200000000000003E-3</v>
      </c>
      <c r="I123" t="s">
        <v>144</v>
      </c>
      <c r="J123" s="59">
        <f t="shared" si="13"/>
        <v>51287.38</v>
      </c>
      <c r="M123" s="91"/>
    </row>
    <row r="124" spans="2:13" x14ac:dyDescent="0.4">
      <c r="B124" s="28"/>
      <c r="C124" t="s">
        <v>76</v>
      </c>
      <c r="D124" s="68">
        <v>600000</v>
      </c>
      <c r="E124" t="s">
        <v>125</v>
      </c>
      <c r="F124" s="68"/>
      <c r="G124" s="68">
        <f>J118</f>
        <v>6977997</v>
      </c>
      <c r="H124" s="115">
        <f>'Rates Comp'!L53</f>
        <v>4.2399999999999998E-3</v>
      </c>
      <c r="I124" t="s">
        <v>144</v>
      </c>
      <c r="J124" s="81">
        <f t="shared" si="13"/>
        <v>29586.71</v>
      </c>
      <c r="M124" s="91"/>
    </row>
    <row r="125" spans="2:13" ht="15.4" thickBot="1" x14ac:dyDescent="0.45">
      <c r="B125" s="28"/>
      <c r="C125" t="s">
        <v>241</v>
      </c>
      <c r="D125" s="68"/>
      <c r="E125"/>
      <c r="F125" s="114">
        <f>SUM(F121:F124)</f>
        <v>156</v>
      </c>
      <c r="G125" s="114">
        <f>SUM(G121:G124)</f>
        <v>27592713</v>
      </c>
      <c r="H125"/>
      <c r="I125"/>
      <c r="J125" s="59">
        <f>SUM(J121:J124)</f>
        <v>180162.1</v>
      </c>
      <c r="M125" s="91"/>
    </row>
    <row r="126" spans="2:13" ht="15.4" thickTop="1" x14ac:dyDescent="0.4">
      <c r="B126" s="28"/>
      <c r="M126" s="91"/>
    </row>
    <row r="127" spans="2:13" x14ac:dyDescent="0.4">
      <c r="B127" s="28"/>
      <c r="C127" t="s">
        <v>235</v>
      </c>
      <c r="M127" s="91"/>
    </row>
    <row r="128" spans="2:13" x14ac:dyDescent="0.4">
      <c r="B128" s="28"/>
      <c r="D128" s="68"/>
      <c r="E128" s="112" t="s">
        <v>124</v>
      </c>
      <c r="F128" s="110" t="s">
        <v>125</v>
      </c>
      <c r="G128" s="70">
        <f>D129</f>
        <v>100000</v>
      </c>
      <c r="H128" s="70">
        <f>D130</f>
        <v>100000</v>
      </c>
      <c r="I128" s="70">
        <f>D131</f>
        <v>400000</v>
      </c>
      <c r="J128" s="70">
        <f>D132</f>
        <v>600000</v>
      </c>
      <c r="M128" s="91"/>
    </row>
    <row r="129" spans="2:13" x14ac:dyDescent="0.4">
      <c r="B129" s="28"/>
      <c r="C129" t="s">
        <v>48</v>
      </c>
      <c r="D129" s="68">
        <v>100000</v>
      </c>
      <c r="E129" s="68">
        <v>102</v>
      </c>
      <c r="F129" s="68">
        <v>1419113</v>
      </c>
      <c r="G129" s="68">
        <f>F129</f>
        <v>1419113</v>
      </c>
      <c r="H129" s="68"/>
      <c r="I129" s="68"/>
      <c r="J129" s="68"/>
      <c r="M129" s="91"/>
    </row>
    <row r="130" spans="2:13" x14ac:dyDescent="0.4">
      <c r="B130" s="28"/>
      <c r="C130" t="s">
        <v>49</v>
      </c>
      <c r="D130" s="68">
        <v>100000</v>
      </c>
      <c r="E130" s="68">
        <v>8</v>
      </c>
      <c r="F130" s="68">
        <v>1052026</v>
      </c>
      <c r="G130" s="68">
        <f>E130*G128</f>
        <v>800000</v>
      </c>
      <c r="H130" s="68">
        <f>F130-G130</f>
        <v>252026</v>
      </c>
      <c r="I130" s="68"/>
      <c r="J130" s="68"/>
      <c r="M130" s="91"/>
    </row>
    <row r="131" spans="2:13" x14ac:dyDescent="0.4">
      <c r="B131" s="28"/>
      <c r="C131" t="s">
        <v>49</v>
      </c>
      <c r="D131" s="68">
        <v>400000</v>
      </c>
      <c r="E131" s="68">
        <v>33</v>
      </c>
      <c r="F131" s="68">
        <v>9755400</v>
      </c>
      <c r="G131" s="68">
        <f>E131*G128</f>
        <v>3300000</v>
      </c>
      <c r="H131" s="68">
        <f>E131*H128</f>
        <v>3300000</v>
      </c>
      <c r="I131" s="68">
        <f>F131-G131-H131</f>
        <v>3155400</v>
      </c>
      <c r="J131" s="68"/>
      <c r="M131" s="91"/>
    </row>
    <row r="132" spans="2:13" x14ac:dyDescent="0.4">
      <c r="B132" s="28"/>
      <c r="C132" t="s">
        <v>76</v>
      </c>
      <c r="D132" s="68">
        <v>600000</v>
      </c>
      <c r="E132" s="68">
        <v>1</v>
      </c>
      <c r="F132" s="68">
        <v>1588000</v>
      </c>
      <c r="G132" s="68">
        <f>E132*G128</f>
        <v>100000</v>
      </c>
      <c r="H132" s="68">
        <f>H128*E132</f>
        <v>100000</v>
      </c>
      <c r="I132" s="68">
        <f>I128*E132</f>
        <v>400000</v>
      </c>
      <c r="J132" s="68">
        <f>F132-G132-H132-I132</f>
        <v>988000</v>
      </c>
      <c r="M132" s="91"/>
    </row>
    <row r="133" spans="2:13" ht="15.4" thickBot="1" x14ac:dyDescent="0.45">
      <c r="B133" s="28"/>
      <c r="D133" s="68"/>
      <c r="E133" s="114">
        <f t="shared" ref="E133:J133" si="14">SUM(E129:E132)</f>
        <v>144</v>
      </c>
      <c r="F133" s="114">
        <f t="shared" si="14"/>
        <v>13814539</v>
      </c>
      <c r="G133" s="114">
        <f t="shared" si="14"/>
        <v>5619113</v>
      </c>
      <c r="H133" s="114">
        <f t="shared" si="14"/>
        <v>3652026</v>
      </c>
      <c r="I133" s="114">
        <f t="shared" si="14"/>
        <v>3555400</v>
      </c>
      <c r="J133" s="114">
        <f t="shared" si="14"/>
        <v>988000</v>
      </c>
      <c r="M133" s="91"/>
    </row>
    <row r="134" spans="2:13" ht="15.4" thickTop="1" x14ac:dyDescent="0.4">
      <c r="B134" s="28"/>
      <c r="D134" s="68"/>
      <c r="E134" s="68"/>
      <c r="F134" s="68"/>
      <c r="G134"/>
      <c r="H134"/>
      <c r="I134"/>
      <c r="J134"/>
      <c r="M134" s="91"/>
    </row>
    <row r="135" spans="2:13" x14ac:dyDescent="0.4">
      <c r="B135" s="28"/>
      <c r="D135" s="68"/>
      <c r="E135"/>
      <c r="F135" s="68"/>
      <c r="G135" s="68"/>
      <c r="H135" s="68"/>
      <c r="I135" s="68"/>
      <c r="J135" s="68"/>
      <c r="M135" s="91"/>
    </row>
    <row r="136" spans="2:13" x14ac:dyDescent="0.4">
      <c r="B136" s="28"/>
      <c r="C136" t="s">
        <v>48</v>
      </c>
      <c r="D136" s="68">
        <v>100000</v>
      </c>
      <c r="E136" t="s">
        <v>125</v>
      </c>
      <c r="F136" s="68">
        <f>E133</f>
        <v>144</v>
      </c>
      <c r="G136" s="68">
        <f>G133</f>
        <v>5619113</v>
      </c>
      <c r="H136" s="93">
        <f>'Rates Comp'!L56</f>
        <v>688.08999999999992</v>
      </c>
      <c r="I136" t="s">
        <v>145</v>
      </c>
      <c r="J136" s="59">
        <f>ROUND(F136*H136,2)</f>
        <v>99084.96</v>
      </c>
      <c r="M136" s="91"/>
    </row>
    <row r="137" spans="2:13" x14ac:dyDescent="0.4">
      <c r="B137" s="28"/>
      <c r="C137" t="s">
        <v>49</v>
      </c>
      <c r="D137" s="68">
        <v>100000</v>
      </c>
      <c r="E137" t="s">
        <v>125</v>
      </c>
      <c r="F137" s="68"/>
      <c r="G137" s="68">
        <f>H133</f>
        <v>3652026</v>
      </c>
      <c r="H137" s="115">
        <f>'Rates Comp'!L57</f>
        <v>6.1200000000000004E-3</v>
      </c>
      <c r="I137" t="s">
        <v>144</v>
      </c>
      <c r="J137" s="59">
        <f t="shared" ref="J137:J139" si="15">ROUND(G137*H137,2)</f>
        <v>22350.400000000001</v>
      </c>
      <c r="M137" s="91"/>
    </row>
    <row r="138" spans="2:13" x14ac:dyDescent="0.4">
      <c r="B138" s="28"/>
      <c r="C138" t="s">
        <v>49</v>
      </c>
      <c r="D138" s="68">
        <v>400000</v>
      </c>
      <c r="E138" t="s">
        <v>125</v>
      </c>
      <c r="F138" s="68"/>
      <c r="G138" s="68">
        <f>I133</f>
        <v>3555400</v>
      </c>
      <c r="H138" s="115">
        <f>'Rates Comp'!L58</f>
        <v>5.7200000000000003E-3</v>
      </c>
      <c r="I138" t="s">
        <v>144</v>
      </c>
      <c r="J138" s="59">
        <f t="shared" si="15"/>
        <v>20336.89</v>
      </c>
      <c r="M138" s="91"/>
    </row>
    <row r="139" spans="2:13" x14ac:dyDescent="0.4">
      <c r="B139" s="28"/>
      <c r="C139" t="s">
        <v>76</v>
      </c>
      <c r="D139" s="68">
        <v>600000</v>
      </c>
      <c r="E139" t="s">
        <v>125</v>
      </c>
      <c r="F139" s="68"/>
      <c r="G139" s="68">
        <f>J133</f>
        <v>988000</v>
      </c>
      <c r="H139" s="115">
        <f>'Rates Comp'!L59</f>
        <v>4.2399999999999998E-3</v>
      </c>
      <c r="I139" t="s">
        <v>144</v>
      </c>
      <c r="J139" s="81">
        <f t="shared" si="15"/>
        <v>4189.12</v>
      </c>
      <c r="M139" s="91"/>
    </row>
    <row r="140" spans="2:13" ht="15.4" thickBot="1" x14ac:dyDescent="0.45">
      <c r="B140" s="28"/>
      <c r="C140" t="s">
        <v>241</v>
      </c>
      <c r="D140" s="68"/>
      <c r="E140"/>
      <c r="F140" s="114">
        <f>SUM(F136:F139)</f>
        <v>144</v>
      </c>
      <c r="G140" s="114">
        <f>SUM(G136:G139)</f>
        <v>13814539</v>
      </c>
      <c r="H140"/>
      <c r="I140"/>
      <c r="J140" s="59">
        <f>SUM(J136:J139)</f>
        <v>145961.37</v>
      </c>
      <c r="M140" s="91"/>
    </row>
    <row r="141" spans="2:13" ht="15.4" thickTop="1" x14ac:dyDescent="0.4">
      <c r="B141" s="28"/>
      <c r="M141" s="91"/>
    </row>
    <row r="142" spans="2:13" x14ac:dyDescent="0.4">
      <c r="B142" s="28"/>
      <c r="C142" t="s">
        <v>236</v>
      </c>
      <c r="M142" s="91"/>
    </row>
    <row r="143" spans="2:13" x14ac:dyDescent="0.4">
      <c r="B143" s="28"/>
      <c r="D143" s="68"/>
      <c r="E143" s="112" t="s">
        <v>124</v>
      </c>
      <c r="F143" s="110" t="s">
        <v>125</v>
      </c>
      <c r="G143" s="70">
        <f>D144</f>
        <v>160000</v>
      </c>
      <c r="H143" s="70">
        <f>D145</f>
        <v>40000</v>
      </c>
      <c r="I143" s="70">
        <f>D146</f>
        <v>400000</v>
      </c>
      <c r="J143" s="70">
        <f>D147</f>
        <v>600000</v>
      </c>
      <c r="M143" s="91"/>
    </row>
    <row r="144" spans="2:13" x14ac:dyDescent="0.4">
      <c r="B144" s="28"/>
      <c r="C144" t="s">
        <v>48</v>
      </c>
      <c r="D144" s="68">
        <v>160000</v>
      </c>
      <c r="E144" s="68">
        <v>41</v>
      </c>
      <c r="F144" s="68">
        <v>2455700</v>
      </c>
      <c r="G144" s="68">
        <f>F144</f>
        <v>2455700</v>
      </c>
      <c r="H144" s="68"/>
      <c r="I144" s="68"/>
      <c r="J144" s="68"/>
      <c r="M144" s="91"/>
    </row>
    <row r="145" spans="2:13" x14ac:dyDescent="0.4">
      <c r="B145" s="28"/>
      <c r="C145" t="s">
        <v>49</v>
      </c>
      <c r="D145" s="68">
        <v>40000</v>
      </c>
      <c r="E145" s="68">
        <v>2</v>
      </c>
      <c r="F145" s="68">
        <v>337600</v>
      </c>
      <c r="G145" s="68">
        <f>E145*G143</f>
        <v>320000</v>
      </c>
      <c r="H145" s="68">
        <f>F145-G145</f>
        <v>17600</v>
      </c>
      <c r="I145" s="68"/>
      <c r="J145" s="68"/>
      <c r="M145" s="91"/>
    </row>
    <row r="146" spans="2:13" x14ac:dyDescent="0.4">
      <c r="B146" s="28"/>
      <c r="C146" t="s">
        <v>49</v>
      </c>
      <c r="D146" s="68">
        <v>400000</v>
      </c>
      <c r="E146" s="68">
        <v>19</v>
      </c>
      <c r="F146" s="68">
        <v>6590075</v>
      </c>
      <c r="G146" s="68">
        <f>E146*G143</f>
        <v>3040000</v>
      </c>
      <c r="H146" s="68">
        <f>E146*H143</f>
        <v>760000</v>
      </c>
      <c r="I146" s="68">
        <f>F146-G146-H146</f>
        <v>2790075</v>
      </c>
      <c r="J146" s="68"/>
      <c r="M146" s="91"/>
    </row>
    <row r="147" spans="2:13" x14ac:dyDescent="0.4">
      <c r="B147" s="28"/>
      <c r="C147" t="s">
        <v>76</v>
      </c>
      <c r="D147" s="68">
        <v>600000</v>
      </c>
      <c r="E147" s="68">
        <v>22</v>
      </c>
      <c r="F147" s="68">
        <v>27493821</v>
      </c>
      <c r="G147" s="68">
        <f>E147*G143</f>
        <v>3520000</v>
      </c>
      <c r="H147" s="68">
        <f>H143*E147</f>
        <v>880000</v>
      </c>
      <c r="I147" s="68">
        <f>I143*E147</f>
        <v>8800000</v>
      </c>
      <c r="J147" s="68">
        <f>F147-G147-H147-I147</f>
        <v>14293821</v>
      </c>
      <c r="M147" s="91"/>
    </row>
    <row r="148" spans="2:13" ht="15.4" thickBot="1" x14ac:dyDescent="0.45">
      <c r="B148" s="28"/>
      <c r="D148" s="68"/>
      <c r="E148" s="114">
        <f t="shared" ref="E148:J148" si="16">SUM(E144:E147)</f>
        <v>84</v>
      </c>
      <c r="F148" s="114">
        <f t="shared" si="16"/>
        <v>36877196</v>
      </c>
      <c r="G148" s="114">
        <f t="shared" si="16"/>
        <v>9335700</v>
      </c>
      <c r="H148" s="114">
        <f t="shared" si="16"/>
        <v>1657600</v>
      </c>
      <c r="I148" s="114">
        <f t="shared" si="16"/>
        <v>11590075</v>
      </c>
      <c r="J148" s="114">
        <f t="shared" si="16"/>
        <v>14293821</v>
      </c>
      <c r="M148" s="91"/>
    </row>
    <row r="149" spans="2:13" ht="15.4" thickTop="1" x14ac:dyDescent="0.4">
      <c r="B149" s="28"/>
      <c r="D149" s="68"/>
      <c r="E149" s="68"/>
      <c r="F149" s="68"/>
      <c r="G149"/>
      <c r="H149"/>
      <c r="I149"/>
      <c r="J149"/>
      <c r="M149" s="91"/>
    </row>
    <row r="150" spans="2:13" x14ac:dyDescent="0.4">
      <c r="B150" s="28"/>
      <c r="C150" t="s">
        <v>48</v>
      </c>
      <c r="D150" s="68">
        <v>160000</v>
      </c>
      <c r="E150" t="s">
        <v>125</v>
      </c>
      <c r="F150" s="68">
        <f>E148</f>
        <v>84</v>
      </c>
      <c r="G150" s="68">
        <f>G148</f>
        <v>9335700</v>
      </c>
      <c r="H150" s="93">
        <f>'Rates Comp'!L62</f>
        <v>1078.0899999999999</v>
      </c>
      <c r="I150" t="s">
        <v>145</v>
      </c>
      <c r="J150" s="59">
        <f>ROUND(F150*H150,2)</f>
        <v>90559.56</v>
      </c>
      <c r="M150" s="91"/>
    </row>
    <row r="151" spans="2:13" x14ac:dyDescent="0.4">
      <c r="B151" s="28"/>
      <c r="C151" t="s">
        <v>49</v>
      </c>
      <c r="D151" s="68">
        <v>40000</v>
      </c>
      <c r="E151" t="s">
        <v>125</v>
      </c>
      <c r="F151" s="68"/>
      <c r="G151" s="68">
        <f>H148</f>
        <v>1657600</v>
      </c>
      <c r="H151" s="115">
        <f>'Rates Comp'!L63</f>
        <v>6.1200000000000004E-3</v>
      </c>
      <c r="I151" t="s">
        <v>144</v>
      </c>
      <c r="J151" s="59">
        <f t="shared" ref="J151:J153" si="17">ROUND(G151*H151,2)</f>
        <v>10144.51</v>
      </c>
      <c r="M151" s="91"/>
    </row>
    <row r="152" spans="2:13" x14ac:dyDescent="0.4">
      <c r="B152" s="28"/>
      <c r="C152" t="s">
        <v>49</v>
      </c>
      <c r="D152" s="68">
        <v>400000</v>
      </c>
      <c r="E152" t="s">
        <v>125</v>
      </c>
      <c r="F152" s="68"/>
      <c r="G152" s="68">
        <f>I148</f>
        <v>11590075</v>
      </c>
      <c r="H152" s="115">
        <f>'Rates Comp'!L64</f>
        <v>5.7200000000000003E-3</v>
      </c>
      <c r="I152" t="s">
        <v>144</v>
      </c>
      <c r="J152" s="59">
        <f t="shared" si="17"/>
        <v>66295.23</v>
      </c>
      <c r="M152" s="91"/>
    </row>
    <row r="153" spans="2:13" x14ac:dyDescent="0.4">
      <c r="B153" s="28"/>
      <c r="C153" t="s">
        <v>76</v>
      </c>
      <c r="D153" s="68">
        <v>600000</v>
      </c>
      <c r="E153" t="s">
        <v>125</v>
      </c>
      <c r="F153" s="68"/>
      <c r="G153" s="68">
        <f>J148</f>
        <v>14293821</v>
      </c>
      <c r="H153" s="115">
        <f>'Rates Comp'!L65</f>
        <v>4.2399999999999998E-3</v>
      </c>
      <c r="I153" t="s">
        <v>144</v>
      </c>
      <c r="J153" s="81">
        <f t="shared" si="17"/>
        <v>60605.8</v>
      </c>
      <c r="M153" s="91"/>
    </row>
    <row r="154" spans="2:13" ht="15.4" thickBot="1" x14ac:dyDescent="0.45">
      <c r="B154" s="28"/>
      <c r="C154" t="s">
        <v>241</v>
      </c>
      <c r="D154" s="68"/>
      <c r="E154"/>
      <c r="F154" s="114">
        <f>SUM(F150:F153)</f>
        <v>84</v>
      </c>
      <c r="G154" s="114">
        <f>SUM(G150:G153)</f>
        <v>36877196</v>
      </c>
      <c r="H154"/>
      <c r="I154"/>
      <c r="J154" s="59">
        <f>SUM(J150:J153)</f>
        <v>227605.09999999998</v>
      </c>
      <c r="M154" s="91"/>
    </row>
    <row r="155" spans="2:13" ht="15.4" thickTop="1" x14ac:dyDescent="0.4">
      <c r="B155" s="28"/>
      <c r="M155" s="91"/>
    </row>
    <row r="156" spans="2:13" x14ac:dyDescent="0.4">
      <c r="B156" s="28"/>
      <c r="C156" t="s">
        <v>247</v>
      </c>
      <c r="M156" s="91"/>
    </row>
    <row r="157" spans="2:13" ht="15.75" x14ac:dyDescent="0.5">
      <c r="B157" s="28"/>
      <c r="C157" s="245" t="s">
        <v>400</v>
      </c>
      <c r="D157" s="246"/>
      <c r="E157" s="245"/>
      <c r="F157" s="246"/>
      <c r="G157" s="246"/>
      <c r="H157" s="246"/>
      <c r="I157" s="246"/>
      <c r="J157" s="246"/>
      <c r="M157" s="91"/>
    </row>
    <row r="158" spans="2:13" ht="15.75" x14ac:dyDescent="0.5">
      <c r="B158" s="28"/>
      <c r="C158" s="245"/>
      <c r="D158" s="246"/>
      <c r="E158" s="245"/>
      <c r="F158" s="246">
        <v>123</v>
      </c>
      <c r="G158" s="246"/>
      <c r="H158" s="247">
        <f>'Rates Comp'!L73</f>
        <v>10.969999999999999</v>
      </c>
      <c r="I158" s="245" t="s">
        <v>145</v>
      </c>
      <c r="J158" s="243">
        <f>ROUND(F158*H158,2)</f>
        <v>1349.31</v>
      </c>
      <c r="M158" s="91"/>
    </row>
    <row r="159" spans="2:13" ht="15.75" x14ac:dyDescent="0.5">
      <c r="B159" s="28"/>
      <c r="C159" s="245" t="s">
        <v>241</v>
      </c>
      <c r="D159" s="246"/>
      <c r="E159" s="245"/>
      <c r="F159" s="246">
        <v>123</v>
      </c>
      <c r="G159" s="246"/>
      <c r="H159" s="245"/>
      <c r="I159" s="245"/>
      <c r="J159" s="59">
        <f>SUM(J158:J158)</f>
        <v>1349.31</v>
      </c>
      <c r="M159" s="91"/>
    </row>
    <row r="160" spans="2:13" ht="15.75" x14ac:dyDescent="0.5">
      <c r="B160" s="28"/>
      <c r="C160" s="245" t="s">
        <v>237</v>
      </c>
      <c r="D160" s="246"/>
      <c r="E160" s="245"/>
      <c r="F160" s="248"/>
      <c r="G160" s="245"/>
      <c r="H160" s="245"/>
      <c r="I160" s="245"/>
      <c r="J160" s="59">
        <v>-571.84</v>
      </c>
      <c r="M160" s="91"/>
    </row>
    <row r="161" spans="2:13" ht="15.75" x14ac:dyDescent="0.5">
      <c r="B161" s="28"/>
      <c r="C161" s="245" t="s">
        <v>238</v>
      </c>
      <c r="D161" s="246"/>
      <c r="E161" s="245"/>
      <c r="F161" s="248"/>
      <c r="G161" s="245"/>
      <c r="H161" s="245"/>
      <c r="I161" s="245"/>
      <c r="J161" s="243"/>
      <c r="M161" s="91"/>
    </row>
    <row r="162" spans="2:13" ht="16.149999999999999" thickBot="1" x14ac:dyDescent="0.55000000000000004">
      <c r="B162" s="28"/>
      <c r="C162" s="245" t="s">
        <v>401</v>
      </c>
      <c r="D162" s="245"/>
      <c r="E162" s="245"/>
      <c r="F162" s="245"/>
      <c r="G162" s="245"/>
      <c r="H162" s="245"/>
      <c r="I162" s="245"/>
      <c r="J162" s="244">
        <f>SUM(J159:J161)</f>
        <v>777.46999999999991</v>
      </c>
      <c r="M162" s="91"/>
    </row>
    <row r="163" spans="2:13" ht="15.4" thickTop="1" x14ac:dyDescent="0.4">
      <c r="B163" s="28"/>
      <c r="M163" s="91"/>
    </row>
    <row r="164" spans="2:13" x14ac:dyDescent="0.4">
      <c r="B164" s="28"/>
      <c r="C164" t="s">
        <v>247</v>
      </c>
      <c r="M164" s="91"/>
    </row>
    <row r="165" spans="2:13" ht="15.75" x14ac:dyDescent="0.5">
      <c r="B165" s="28"/>
      <c r="C165" s="245" t="s">
        <v>400</v>
      </c>
      <c r="D165" s="246"/>
      <c r="E165" s="245"/>
      <c r="F165" s="246"/>
      <c r="G165" s="246"/>
      <c r="H165" s="246"/>
      <c r="I165" s="246"/>
      <c r="J165" s="246"/>
      <c r="M165" s="91"/>
    </row>
    <row r="166" spans="2:13" ht="15.75" x14ac:dyDescent="0.5">
      <c r="B166" s="28"/>
      <c r="C166" s="245"/>
      <c r="D166" s="246"/>
      <c r="E166" s="245"/>
      <c r="F166" s="246">
        <v>69</v>
      </c>
      <c r="G166" s="246"/>
      <c r="H166" s="247">
        <f>'Rates Comp'!L74</f>
        <v>18.470000000000002</v>
      </c>
      <c r="I166" s="245" t="s">
        <v>145</v>
      </c>
      <c r="J166" s="243">
        <f>ROUND(F166*H166,2)</f>
        <v>1274.43</v>
      </c>
      <c r="M166" s="91"/>
    </row>
    <row r="167" spans="2:13" ht="15.75" x14ac:dyDescent="0.5">
      <c r="B167" s="28"/>
      <c r="C167" s="245" t="s">
        <v>241</v>
      </c>
      <c r="D167" s="246"/>
      <c r="E167" s="245"/>
      <c r="F167" s="246">
        <v>69</v>
      </c>
      <c r="G167" s="246"/>
      <c r="H167" s="245"/>
      <c r="I167" s="245"/>
      <c r="J167" s="59">
        <f>SUM(J166:J166)</f>
        <v>1274.43</v>
      </c>
      <c r="M167" s="91"/>
    </row>
    <row r="168" spans="2:13" ht="15.75" x14ac:dyDescent="0.5">
      <c r="B168" s="28"/>
      <c r="C168" s="245" t="s">
        <v>237</v>
      </c>
      <c r="D168" s="246"/>
      <c r="E168" s="245"/>
      <c r="F168" s="248"/>
      <c r="G168" s="245"/>
      <c r="H168" s="245"/>
      <c r="I168" s="245"/>
      <c r="J168" s="59">
        <v>0</v>
      </c>
      <c r="M168" s="91"/>
    </row>
    <row r="169" spans="2:13" ht="15.75" x14ac:dyDescent="0.5">
      <c r="B169" s="28"/>
      <c r="C169" s="245" t="s">
        <v>238</v>
      </c>
      <c r="D169" s="246"/>
      <c r="E169" s="245"/>
      <c r="F169" s="248"/>
      <c r="G169" s="245"/>
      <c r="H169" s="245"/>
      <c r="I169" s="245"/>
      <c r="J169" s="243">
        <v>0</v>
      </c>
      <c r="M169" s="91"/>
    </row>
    <row r="170" spans="2:13" ht="16.149999999999999" thickBot="1" x14ac:dyDescent="0.55000000000000004">
      <c r="B170" s="28"/>
      <c r="C170" s="245" t="s">
        <v>401</v>
      </c>
      <c r="D170" s="245"/>
      <c r="E170" s="245"/>
      <c r="F170" s="245"/>
      <c r="G170" s="245"/>
      <c r="H170" s="245"/>
      <c r="I170" s="245"/>
      <c r="J170" s="244">
        <f>SUM(J167:J169)</f>
        <v>1274.43</v>
      </c>
      <c r="M170" s="91"/>
    </row>
    <row r="171" spans="2:13" ht="15.4" thickTop="1" x14ac:dyDescent="0.4">
      <c r="B171" s="97"/>
      <c r="C171" s="57"/>
      <c r="D171" s="57"/>
      <c r="E171" s="81"/>
      <c r="F171" s="81"/>
      <c r="G171" s="81"/>
      <c r="H171" s="81"/>
      <c r="I171" s="81"/>
      <c r="J171" s="81"/>
      <c r="K171" s="81"/>
      <c r="L171" s="81"/>
      <c r="M171" s="98"/>
    </row>
  </sheetData>
  <mergeCells count="3">
    <mergeCell ref="C2:L2"/>
    <mergeCell ref="C3:L3"/>
    <mergeCell ref="C81:L8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68823-4E49-46F0-BDE8-CAD1869D6CFE}">
  <dimension ref="A1:AA86"/>
  <sheetViews>
    <sheetView showGridLines="0" workbookViewId="0">
      <selection activeCell="B5" sqref="B5:T5"/>
    </sheetView>
  </sheetViews>
  <sheetFormatPr defaultColWidth="8.88671875" defaultRowHeight="13.5" x14ac:dyDescent="0.35"/>
  <cols>
    <col min="1" max="1" width="1.77734375" style="30" customWidth="1"/>
    <col min="2" max="2" width="7.33203125" style="29" customWidth="1"/>
    <col min="3" max="3" width="1.33203125" style="30" customWidth="1"/>
    <col min="4" max="4" width="41.77734375" style="30" customWidth="1"/>
    <col min="5" max="5" width="1.33203125" style="30" customWidth="1"/>
    <col min="6" max="6" width="14.21875" style="31" customWidth="1"/>
    <col min="7" max="7" width="1.33203125" style="30" customWidth="1"/>
    <col min="8" max="8" width="13" style="31" customWidth="1"/>
    <col min="9" max="9" width="1.88671875" style="31" customWidth="1"/>
    <col min="10" max="10" width="13" style="31" customWidth="1"/>
    <col min="11" max="11" width="1.33203125" style="30" customWidth="1"/>
    <col min="12" max="12" width="11.44140625" style="31" customWidth="1"/>
    <col min="13" max="13" width="1.33203125" style="30" customWidth="1"/>
    <col min="14" max="14" width="11.44140625" style="31" customWidth="1"/>
    <col min="15" max="15" width="1.33203125" style="30" customWidth="1"/>
    <col min="16" max="16" width="11.44140625" style="31" customWidth="1"/>
    <col min="17" max="17" width="1.33203125" style="30" customWidth="1"/>
    <col min="18" max="18" width="13" style="31" customWidth="1"/>
    <col min="19" max="19" width="1.33203125" style="30" customWidth="1"/>
    <col min="20" max="20" width="7.77734375" style="33" customWidth="1"/>
    <col min="21" max="24" width="1.33203125" style="30" customWidth="1"/>
    <col min="25" max="25" width="8.88671875" style="32"/>
    <col min="26" max="26" width="1.33203125" style="30" customWidth="1"/>
    <col min="27" max="27" width="32.21875" style="30" customWidth="1"/>
    <col min="28" max="16384" width="8.88671875" style="30"/>
  </cols>
  <sheetData>
    <row r="1" spans="1:27" ht="15" x14ac:dyDescent="0.4">
      <c r="A1" s="100"/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101"/>
    </row>
    <row r="2" spans="1:27" ht="15" x14ac:dyDescent="0.4">
      <c r="A2" s="89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102"/>
    </row>
    <row r="3" spans="1:27" ht="22.15" x14ac:dyDescent="0.55000000000000004">
      <c r="A3" s="89"/>
      <c r="B3" s="517" t="s">
        <v>95</v>
      </c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  <c r="U3" s="102"/>
    </row>
    <row r="4" spans="1:27" ht="22.15" x14ac:dyDescent="0.55000000000000004">
      <c r="A4" s="89"/>
      <c r="B4" s="518" t="s">
        <v>149</v>
      </c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102"/>
    </row>
    <row r="5" spans="1:27" ht="22.15" x14ac:dyDescent="0.55000000000000004">
      <c r="A5" s="89"/>
      <c r="B5" s="469" t="s">
        <v>164</v>
      </c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470"/>
      <c r="T5" s="470"/>
      <c r="U5" s="102"/>
    </row>
    <row r="6" spans="1:27" x14ac:dyDescent="0.35">
      <c r="A6" s="89"/>
      <c r="U6" s="102"/>
    </row>
    <row r="7" spans="1:27" x14ac:dyDescent="0.35">
      <c r="A7" s="89"/>
      <c r="B7" s="29" t="s">
        <v>131</v>
      </c>
      <c r="F7" s="86" t="s">
        <v>104</v>
      </c>
      <c r="H7" s="86" t="s">
        <v>105</v>
      </c>
      <c r="I7" s="86"/>
      <c r="J7" s="86" t="s">
        <v>428</v>
      </c>
      <c r="L7" s="33">
        <v>2022</v>
      </c>
      <c r="N7" s="33" t="s">
        <v>429</v>
      </c>
      <c r="P7" s="33" t="s">
        <v>430</v>
      </c>
      <c r="R7" s="86" t="s">
        <v>105</v>
      </c>
      <c r="T7" s="33" t="s">
        <v>147</v>
      </c>
      <c r="U7" s="102"/>
    </row>
    <row r="8" spans="1:27" x14ac:dyDescent="0.35">
      <c r="A8" s="89"/>
      <c r="B8" s="109" t="s">
        <v>99</v>
      </c>
      <c r="D8" s="34" t="s">
        <v>106</v>
      </c>
      <c r="F8" s="35" t="s">
        <v>431</v>
      </c>
      <c r="H8" s="36">
        <v>44562</v>
      </c>
      <c r="I8" s="331"/>
      <c r="J8" s="36" t="s">
        <v>432</v>
      </c>
      <c r="L8" s="35" t="s">
        <v>107</v>
      </c>
      <c r="N8" s="35" t="s">
        <v>433</v>
      </c>
      <c r="P8" s="35" t="s">
        <v>434</v>
      </c>
      <c r="R8" s="36">
        <v>44926</v>
      </c>
      <c r="T8" s="37" t="s">
        <v>148</v>
      </c>
      <c r="U8" s="102"/>
    </row>
    <row r="9" spans="1:27" x14ac:dyDescent="0.35">
      <c r="A9" s="89"/>
      <c r="B9" s="29">
        <v>303</v>
      </c>
      <c r="D9" s="30" t="s">
        <v>108</v>
      </c>
      <c r="F9" s="38">
        <f>5628+19921</f>
        <v>25549</v>
      </c>
      <c r="U9" s="102"/>
      <c r="Y9" s="32">
        <v>303</v>
      </c>
      <c r="AA9" s="30" t="s">
        <v>109</v>
      </c>
    </row>
    <row r="10" spans="1:27" x14ac:dyDescent="0.35">
      <c r="A10" s="89"/>
      <c r="B10" s="29">
        <v>304</v>
      </c>
      <c r="D10" s="30" t="s">
        <v>435</v>
      </c>
      <c r="F10" s="31">
        <v>8500</v>
      </c>
      <c r="H10" s="38">
        <v>8423</v>
      </c>
      <c r="I10" s="38"/>
      <c r="J10" s="38">
        <v>0</v>
      </c>
      <c r="L10" s="38">
        <v>0</v>
      </c>
      <c r="N10" s="38">
        <v>56</v>
      </c>
      <c r="P10" s="38">
        <f>+L10+N10</f>
        <v>56</v>
      </c>
      <c r="R10" s="38">
        <f>+H10+P10</f>
        <v>8479</v>
      </c>
      <c r="T10" s="33">
        <v>10</v>
      </c>
      <c r="U10" s="102"/>
      <c r="Y10" s="32">
        <v>304</v>
      </c>
      <c r="AA10" s="30" t="s">
        <v>110</v>
      </c>
    </row>
    <row r="11" spans="1:27" x14ac:dyDescent="0.35">
      <c r="A11" s="89"/>
      <c r="B11" s="29">
        <v>304</v>
      </c>
      <c r="D11" s="30" t="s">
        <v>435</v>
      </c>
      <c r="F11" s="332">
        <v>3070</v>
      </c>
      <c r="G11" s="332"/>
      <c r="H11" s="332">
        <v>3070</v>
      </c>
      <c r="I11" s="332"/>
      <c r="J11" s="332"/>
      <c r="K11" s="332"/>
      <c r="L11" s="332">
        <v>0</v>
      </c>
      <c r="M11" s="332"/>
      <c r="N11" s="332">
        <v>0</v>
      </c>
      <c r="O11" s="332"/>
      <c r="P11" s="332">
        <f>+L11+N11</f>
        <v>0</v>
      </c>
      <c r="R11" s="332">
        <f t="shared" ref="R11:R27" si="0">+H11+P11</f>
        <v>3070</v>
      </c>
      <c r="T11" s="33">
        <v>10</v>
      </c>
      <c r="U11" s="102"/>
      <c r="Y11" s="32">
        <v>304</v>
      </c>
      <c r="AA11" s="30" t="s">
        <v>110</v>
      </c>
    </row>
    <row r="12" spans="1:27" x14ac:dyDescent="0.35">
      <c r="A12" s="89"/>
      <c r="B12" s="29">
        <v>311</v>
      </c>
      <c r="D12" s="30" t="s">
        <v>94</v>
      </c>
      <c r="F12" s="332">
        <v>1525938</v>
      </c>
      <c r="G12" s="332"/>
      <c r="H12" s="332">
        <v>177674</v>
      </c>
      <c r="I12" s="332"/>
      <c r="J12" s="332"/>
      <c r="K12" s="332"/>
      <c r="L12" s="332">
        <v>46406</v>
      </c>
      <c r="M12" s="332"/>
      <c r="N12" s="332">
        <v>45043</v>
      </c>
      <c r="O12" s="332"/>
      <c r="P12" s="332">
        <f t="shared" ref="P12:P27" si="1">+L12+N12</f>
        <v>91449</v>
      </c>
      <c r="R12" s="332">
        <f t="shared" si="0"/>
        <v>269123</v>
      </c>
      <c r="T12" s="33">
        <v>20</v>
      </c>
      <c r="U12" s="102"/>
      <c r="Y12" s="32">
        <v>311</v>
      </c>
      <c r="AA12" s="30" t="s">
        <v>94</v>
      </c>
    </row>
    <row r="13" spans="1:27" x14ac:dyDescent="0.35">
      <c r="A13" s="89"/>
      <c r="B13" s="29">
        <v>330</v>
      </c>
      <c r="D13" s="30" t="s">
        <v>113</v>
      </c>
      <c r="F13" s="332">
        <v>2751456</v>
      </c>
      <c r="G13" s="332"/>
      <c r="H13" s="332">
        <v>1257069</v>
      </c>
      <c r="I13" s="332"/>
      <c r="J13" s="332"/>
      <c r="K13" s="332"/>
      <c r="L13" s="332">
        <v>104129</v>
      </c>
      <c r="M13" s="332"/>
      <c r="N13" s="332">
        <v>1217</v>
      </c>
      <c r="O13" s="332"/>
      <c r="P13" s="332">
        <f t="shared" si="1"/>
        <v>105346</v>
      </c>
      <c r="R13" s="332">
        <f t="shared" si="0"/>
        <v>1362415</v>
      </c>
      <c r="T13" s="33">
        <v>45</v>
      </c>
      <c r="U13" s="102"/>
      <c r="Y13" s="32">
        <v>330</v>
      </c>
      <c r="AA13" s="30" t="s">
        <v>113</v>
      </c>
    </row>
    <row r="14" spans="1:27" x14ac:dyDescent="0.35">
      <c r="A14" s="89"/>
      <c r="B14" s="29">
        <v>331</v>
      </c>
      <c r="D14" s="30" t="s">
        <v>114</v>
      </c>
      <c r="F14" s="332">
        <f>16005477</f>
        <v>16005477</v>
      </c>
      <c r="G14" s="332"/>
      <c r="H14" s="332">
        <f>4606497</f>
        <v>4606497</v>
      </c>
      <c r="I14" s="332"/>
      <c r="J14" s="332"/>
      <c r="K14" s="332"/>
      <c r="L14" s="332">
        <f>220127</f>
        <v>220127</v>
      </c>
      <c r="M14" s="332"/>
      <c r="N14" s="332">
        <v>0</v>
      </c>
      <c r="O14" s="332"/>
      <c r="P14" s="332">
        <f t="shared" si="1"/>
        <v>220127</v>
      </c>
      <c r="R14" s="332">
        <f t="shared" si="0"/>
        <v>4826624</v>
      </c>
      <c r="T14" s="333">
        <v>62.5</v>
      </c>
      <c r="U14" s="102"/>
      <c r="Y14" s="32">
        <v>331</v>
      </c>
      <c r="AA14" s="30" t="s">
        <v>114</v>
      </c>
    </row>
    <row r="15" spans="1:27" x14ac:dyDescent="0.35">
      <c r="A15" s="89"/>
      <c r="B15" s="29">
        <v>331</v>
      </c>
      <c r="D15" s="30" t="s">
        <v>436</v>
      </c>
      <c r="F15" s="332">
        <v>217605</v>
      </c>
      <c r="G15" s="332"/>
      <c r="H15" s="332">
        <v>172705</v>
      </c>
      <c r="I15" s="332"/>
      <c r="J15" s="332"/>
      <c r="K15" s="332"/>
      <c r="L15" s="332">
        <v>2090</v>
      </c>
      <c r="M15" s="332"/>
      <c r="N15" s="332">
        <v>25282</v>
      </c>
      <c r="O15" s="332"/>
      <c r="P15" s="332">
        <f t="shared" si="1"/>
        <v>27372</v>
      </c>
      <c r="R15" s="332">
        <f t="shared" si="0"/>
        <v>200077</v>
      </c>
      <c r="T15" s="33">
        <v>10</v>
      </c>
      <c r="U15" s="102"/>
    </row>
    <row r="16" spans="1:27" x14ac:dyDescent="0.35">
      <c r="A16" s="89"/>
      <c r="B16" s="29">
        <v>333</v>
      </c>
      <c r="D16" s="30" t="s">
        <v>437</v>
      </c>
      <c r="F16" s="332">
        <v>1161988</v>
      </c>
      <c r="G16" s="332"/>
      <c r="H16" s="332">
        <v>400576</v>
      </c>
      <c r="I16" s="332"/>
      <c r="J16" s="332"/>
      <c r="K16" s="332"/>
      <c r="L16" s="332">
        <v>34410</v>
      </c>
      <c r="M16" s="332"/>
      <c r="N16" s="332">
        <v>9356</v>
      </c>
      <c r="O16" s="332"/>
      <c r="P16" s="332">
        <f t="shared" si="1"/>
        <v>43766</v>
      </c>
      <c r="R16" s="332">
        <f t="shared" si="0"/>
        <v>444342</v>
      </c>
      <c r="T16" s="33">
        <v>40</v>
      </c>
      <c r="U16" s="102"/>
      <c r="Y16" s="32">
        <v>334</v>
      </c>
      <c r="AA16" s="30" t="s">
        <v>115</v>
      </c>
    </row>
    <row r="17" spans="1:27" x14ac:dyDescent="0.35">
      <c r="A17" s="89"/>
      <c r="B17" s="29">
        <v>334</v>
      </c>
      <c r="D17" s="30" t="s">
        <v>438</v>
      </c>
      <c r="F17" s="332">
        <v>1738558</v>
      </c>
      <c r="G17" s="332"/>
      <c r="H17" s="332">
        <v>366845</v>
      </c>
      <c r="I17" s="332"/>
      <c r="J17" s="332">
        <v>-8225</v>
      </c>
      <c r="K17" s="332"/>
      <c r="L17" s="332">
        <v>75318</v>
      </c>
      <c r="M17" s="332"/>
      <c r="N17" s="332">
        <v>74126</v>
      </c>
      <c r="O17" s="332"/>
      <c r="P17" s="332">
        <f t="shared" si="1"/>
        <v>149444</v>
      </c>
      <c r="R17" s="332">
        <f>+H17+P17+J17</f>
        <v>508064</v>
      </c>
      <c r="T17" s="33">
        <v>20</v>
      </c>
      <c r="U17" s="102"/>
      <c r="Y17" s="32">
        <v>334</v>
      </c>
      <c r="AA17" s="30" t="s">
        <v>115</v>
      </c>
    </row>
    <row r="18" spans="1:27" x14ac:dyDescent="0.35">
      <c r="A18" s="89"/>
      <c r="B18" s="29">
        <v>334</v>
      </c>
      <c r="D18" s="30" t="s">
        <v>459</v>
      </c>
      <c r="F18" s="332">
        <v>923870</v>
      </c>
      <c r="G18" s="332"/>
      <c r="H18" s="332">
        <v>380747</v>
      </c>
      <c r="I18" s="332"/>
      <c r="J18" s="332"/>
      <c r="K18" s="332"/>
      <c r="L18" s="332">
        <v>22414</v>
      </c>
      <c r="M18" s="332"/>
      <c r="N18" s="332">
        <v>850</v>
      </c>
      <c r="O18" s="332"/>
      <c r="P18" s="332">
        <f t="shared" si="1"/>
        <v>23264</v>
      </c>
      <c r="R18" s="332">
        <f t="shared" si="0"/>
        <v>404011</v>
      </c>
      <c r="T18" s="33">
        <v>45</v>
      </c>
      <c r="U18" s="102"/>
      <c r="Y18" s="32">
        <v>334</v>
      </c>
      <c r="AA18" s="30" t="s">
        <v>115</v>
      </c>
    </row>
    <row r="19" spans="1:27" x14ac:dyDescent="0.35">
      <c r="A19" s="89"/>
      <c r="B19" s="29">
        <v>335</v>
      </c>
      <c r="D19" s="30" t="s">
        <v>116</v>
      </c>
      <c r="F19" s="332">
        <v>649589</v>
      </c>
      <c r="G19" s="332"/>
      <c r="H19" s="332">
        <v>135917</v>
      </c>
      <c r="I19" s="332"/>
      <c r="J19" s="332"/>
      <c r="K19" s="332"/>
      <c r="L19" s="332">
        <v>12981</v>
      </c>
      <c r="M19" s="332"/>
      <c r="N19" s="332">
        <v>0</v>
      </c>
      <c r="O19" s="332"/>
      <c r="P19" s="332">
        <f t="shared" si="1"/>
        <v>12981</v>
      </c>
      <c r="R19" s="332">
        <f t="shared" si="0"/>
        <v>148898</v>
      </c>
      <c r="T19" s="33">
        <v>50</v>
      </c>
      <c r="U19" s="102"/>
      <c r="Y19" s="32">
        <v>335</v>
      </c>
      <c r="AA19" s="30" t="s">
        <v>116</v>
      </c>
    </row>
    <row r="20" spans="1:27" x14ac:dyDescent="0.35">
      <c r="A20" s="89"/>
      <c r="B20" s="29">
        <v>339</v>
      </c>
      <c r="D20" s="30" t="s">
        <v>440</v>
      </c>
      <c r="F20" s="332">
        <v>179</v>
      </c>
      <c r="G20" s="332"/>
      <c r="H20" s="332">
        <v>121</v>
      </c>
      <c r="I20" s="332"/>
      <c r="J20" s="332"/>
      <c r="K20" s="332"/>
      <c r="L20" s="332">
        <v>0</v>
      </c>
      <c r="M20" s="332"/>
      <c r="N20" s="332">
        <v>0</v>
      </c>
      <c r="O20" s="332"/>
      <c r="P20" s="332">
        <f t="shared" si="1"/>
        <v>0</v>
      </c>
      <c r="R20" s="332">
        <f t="shared" si="0"/>
        <v>121</v>
      </c>
      <c r="T20" s="33">
        <v>50</v>
      </c>
      <c r="U20" s="102"/>
    </row>
    <row r="21" spans="1:27" x14ac:dyDescent="0.35">
      <c r="A21" s="89"/>
      <c r="B21" s="29">
        <v>340</v>
      </c>
      <c r="D21" s="30" t="s">
        <v>441</v>
      </c>
      <c r="F21" s="332">
        <f>172318-85880</f>
        <v>86438</v>
      </c>
      <c r="G21" s="332"/>
      <c r="H21" s="332">
        <f>105353-53827</f>
        <v>51526</v>
      </c>
      <c r="I21" s="332"/>
      <c r="J21" s="332"/>
      <c r="K21" s="332"/>
      <c r="L21" s="332">
        <f>18043-5726</f>
        <v>12317</v>
      </c>
      <c r="M21" s="332"/>
      <c r="N21" s="332">
        <v>0</v>
      </c>
      <c r="O21" s="332"/>
      <c r="P21" s="332">
        <f t="shared" si="1"/>
        <v>12317</v>
      </c>
      <c r="R21" s="332">
        <f t="shared" si="0"/>
        <v>63843</v>
      </c>
      <c r="T21" s="33">
        <v>5</v>
      </c>
      <c r="U21" s="102"/>
      <c r="Y21" s="32">
        <v>340</v>
      </c>
      <c r="AA21" s="30" t="s">
        <v>117</v>
      </c>
    </row>
    <row r="22" spans="1:27" x14ac:dyDescent="0.35">
      <c r="A22" s="89"/>
      <c r="B22" s="29">
        <v>340</v>
      </c>
      <c r="D22" s="30" t="s">
        <v>442</v>
      </c>
      <c r="F22" s="332">
        <f>79055+4434+581+180+1630</f>
        <v>85880</v>
      </c>
      <c r="G22" s="332"/>
      <c r="H22" s="332">
        <f>79055+4434+581+180+1630-28987-1848-261-87-870</f>
        <v>53827</v>
      </c>
      <c r="I22" s="332"/>
      <c r="J22" s="332"/>
      <c r="K22" s="332"/>
      <c r="L22" s="332">
        <f>5270+296+39+12+109</f>
        <v>5726</v>
      </c>
      <c r="M22" s="332"/>
      <c r="N22" s="332">
        <v>0</v>
      </c>
      <c r="O22" s="332"/>
      <c r="P22" s="332">
        <f t="shared" si="1"/>
        <v>5726</v>
      </c>
      <c r="R22" s="332">
        <f t="shared" si="0"/>
        <v>59553</v>
      </c>
      <c r="T22" s="33">
        <v>15</v>
      </c>
      <c r="U22" s="102"/>
    </row>
    <row r="23" spans="1:27" x14ac:dyDescent="0.35">
      <c r="A23" s="89"/>
      <c r="B23" s="29">
        <v>340</v>
      </c>
      <c r="D23" s="30" t="s">
        <v>443</v>
      </c>
      <c r="F23" s="332">
        <v>68924</v>
      </c>
      <c r="G23" s="332"/>
      <c r="H23" s="332">
        <v>56043</v>
      </c>
      <c r="I23" s="332"/>
      <c r="J23" s="332"/>
      <c r="K23" s="332"/>
      <c r="L23" s="332">
        <v>5340</v>
      </c>
      <c r="M23" s="332"/>
      <c r="N23" s="332">
        <v>0</v>
      </c>
      <c r="O23" s="332"/>
      <c r="P23" s="332">
        <f t="shared" si="1"/>
        <v>5340</v>
      </c>
      <c r="R23" s="332">
        <f t="shared" si="0"/>
        <v>61383</v>
      </c>
      <c r="T23" s="33">
        <v>5</v>
      </c>
      <c r="U23" s="102"/>
      <c r="Y23" s="32">
        <v>340</v>
      </c>
      <c r="AA23" s="30" t="s">
        <v>117</v>
      </c>
    </row>
    <row r="24" spans="1:27" x14ac:dyDescent="0.35">
      <c r="A24" s="89"/>
      <c r="B24" s="29">
        <v>340</v>
      </c>
      <c r="D24" s="30" t="s">
        <v>117</v>
      </c>
      <c r="F24" s="332">
        <v>19313</v>
      </c>
      <c r="G24" s="332"/>
      <c r="H24" s="332">
        <v>14774</v>
      </c>
      <c r="I24" s="332"/>
      <c r="J24" s="332"/>
      <c r="K24" s="332"/>
      <c r="L24" s="332">
        <v>256</v>
      </c>
      <c r="M24" s="332"/>
      <c r="N24" s="332">
        <v>0</v>
      </c>
      <c r="O24" s="332"/>
      <c r="P24" s="332">
        <f t="shared" si="1"/>
        <v>256</v>
      </c>
      <c r="R24" s="332">
        <f t="shared" si="0"/>
        <v>15030</v>
      </c>
      <c r="T24" s="333">
        <v>22.5</v>
      </c>
      <c r="U24" s="102"/>
      <c r="Y24" s="32">
        <v>340</v>
      </c>
      <c r="AA24" s="30" t="s">
        <v>118</v>
      </c>
    </row>
    <row r="25" spans="1:27" x14ac:dyDescent="0.35">
      <c r="A25" s="89"/>
      <c r="B25" s="29">
        <v>341</v>
      </c>
      <c r="D25" s="30" t="s">
        <v>119</v>
      </c>
      <c r="F25" s="332">
        <v>42611</v>
      </c>
      <c r="G25" s="332"/>
      <c r="H25" s="332">
        <v>42611</v>
      </c>
      <c r="I25" s="332"/>
      <c r="J25" s="332"/>
      <c r="K25" s="332"/>
      <c r="L25" s="332">
        <v>0</v>
      </c>
      <c r="M25" s="332"/>
      <c r="N25" s="332">
        <v>0</v>
      </c>
      <c r="O25" s="332"/>
      <c r="P25" s="332">
        <f t="shared" si="1"/>
        <v>0</v>
      </c>
      <c r="R25" s="332">
        <f t="shared" si="0"/>
        <v>42611</v>
      </c>
      <c r="T25" s="33">
        <v>7</v>
      </c>
      <c r="U25" s="102"/>
      <c r="Y25" s="32">
        <v>341</v>
      </c>
      <c r="AA25" s="30" t="s">
        <v>119</v>
      </c>
    </row>
    <row r="26" spans="1:27" x14ac:dyDescent="0.35">
      <c r="A26" s="89"/>
      <c r="B26" s="29">
        <v>343</v>
      </c>
      <c r="D26" s="30" t="s">
        <v>444</v>
      </c>
      <c r="F26" s="332">
        <v>25300</v>
      </c>
      <c r="G26" s="332"/>
      <c r="H26" s="332">
        <v>13123</v>
      </c>
      <c r="I26" s="332"/>
      <c r="J26" s="332"/>
      <c r="K26" s="332"/>
      <c r="L26" s="332">
        <v>1193</v>
      </c>
      <c r="M26" s="332"/>
      <c r="N26" s="332">
        <v>0</v>
      </c>
      <c r="O26" s="332"/>
      <c r="P26" s="332">
        <f t="shared" si="1"/>
        <v>1193</v>
      </c>
      <c r="R26" s="332">
        <f t="shared" si="0"/>
        <v>14316</v>
      </c>
      <c r="T26" s="333">
        <v>12.5</v>
      </c>
      <c r="U26" s="102"/>
      <c r="Y26" s="32">
        <v>347</v>
      </c>
      <c r="AA26" s="30" t="s">
        <v>120</v>
      </c>
    </row>
    <row r="27" spans="1:27" x14ac:dyDescent="0.35">
      <c r="A27" s="89"/>
      <c r="B27" s="29">
        <v>346</v>
      </c>
      <c r="D27" s="30" t="s">
        <v>445</v>
      </c>
      <c r="F27" s="332">
        <v>25792</v>
      </c>
      <c r="G27" s="332"/>
      <c r="H27" s="332">
        <v>15154</v>
      </c>
      <c r="I27" s="332"/>
      <c r="J27" s="332"/>
      <c r="K27" s="332"/>
      <c r="L27" s="332">
        <v>2048</v>
      </c>
      <c r="M27" s="332"/>
      <c r="N27" s="332">
        <v>0</v>
      </c>
      <c r="O27" s="332"/>
      <c r="P27" s="332">
        <f t="shared" si="1"/>
        <v>2048</v>
      </c>
      <c r="R27" s="332">
        <f t="shared" si="0"/>
        <v>17202</v>
      </c>
      <c r="T27" s="33">
        <v>10</v>
      </c>
      <c r="U27" s="102"/>
      <c r="Y27" s="32">
        <v>347</v>
      </c>
      <c r="AA27" s="30" t="s">
        <v>121</v>
      </c>
    </row>
    <row r="28" spans="1:27" ht="14.25" thickBot="1" x14ac:dyDescent="0.45">
      <c r="A28" s="89"/>
      <c r="F28" s="39">
        <f>SUM(F9:F27)</f>
        <v>25366037</v>
      </c>
      <c r="H28" s="39">
        <f>SUM(H10:H27)</f>
        <v>7756702</v>
      </c>
      <c r="I28" s="334"/>
      <c r="J28" s="39">
        <f>SUM(J10:J27)</f>
        <v>-8225</v>
      </c>
      <c r="L28" s="39">
        <f>SUM(L10:L27)</f>
        <v>544755</v>
      </c>
      <c r="N28" s="39">
        <f>SUM(N10:N27)</f>
        <v>155930</v>
      </c>
      <c r="P28" s="335">
        <f>SUM(P10:P27)</f>
        <v>700685</v>
      </c>
      <c r="R28" s="39">
        <f>SUM(R10:R27)</f>
        <v>8449162</v>
      </c>
      <c r="U28" s="102"/>
    </row>
    <row r="29" spans="1:27" ht="13.9" thickTop="1" x14ac:dyDescent="0.35">
      <c r="A29" s="90"/>
      <c r="B29" s="109"/>
      <c r="C29" s="87"/>
      <c r="D29" s="87"/>
      <c r="E29" s="87"/>
      <c r="F29" s="88"/>
      <c r="G29" s="87"/>
      <c r="H29" s="88"/>
      <c r="I29" s="88"/>
      <c r="J29" s="88"/>
      <c r="K29" s="87"/>
      <c r="L29" s="88"/>
      <c r="M29" s="87"/>
      <c r="N29" s="88"/>
      <c r="O29" s="87"/>
      <c r="P29" s="88"/>
      <c r="Q29" s="87"/>
      <c r="R29" s="88"/>
      <c r="S29" s="87"/>
      <c r="T29" s="37"/>
      <c r="U29" s="103"/>
    </row>
    <row r="30" spans="1:27" x14ac:dyDescent="0.35">
      <c r="A30" s="89"/>
      <c r="U30" s="102"/>
    </row>
    <row r="31" spans="1:27" x14ac:dyDescent="0.35">
      <c r="A31" s="89"/>
      <c r="B31" s="29" t="s">
        <v>128</v>
      </c>
      <c r="D31" s="30" t="s">
        <v>426</v>
      </c>
      <c r="P31" s="31">
        <f>-N28</f>
        <v>-155930</v>
      </c>
      <c r="U31" s="102"/>
    </row>
    <row r="32" spans="1:27" x14ac:dyDescent="0.35">
      <c r="A32" s="89"/>
      <c r="U32" s="102"/>
    </row>
    <row r="33" spans="1:21" x14ac:dyDescent="0.35">
      <c r="A33" s="89"/>
      <c r="B33" s="29" t="s">
        <v>130</v>
      </c>
      <c r="D33" s="336" t="s">
        <v>446</v>
      </c>
      <c r="F33" s="30"/>
      <c r="H33" s="30"/>
      <c r="I33" s="30"/>
      <c r="J33" s="30"/>
      <c r="L33" s="30"/>
      <c r="N33" s="30"/>
      <c r="P33" s="30"/>
      <c r="U33" s="102"/>
    </row>
    <row r="34" spans="1:21" x14ac:dyDescent="0.35">
      <c r="A34" s="89"/>
      <c r="D34" s="30" t="s">
        <v>330</v>
      </c>
      <c r="P34" s="31">
        <v>60970</v>
      </c>
      <c r="U34" s="102"/>
    </row>
    <row r="35" spans="1:21" x14ac:dyDescent="0.35">
      <c r="A35" s="89"/>
      <c r="D35" s="30" t="s">
        <v>332</v>
      </c>
      <c r="P35" s="31">
        <v>4330</v>
      </c>
      <c r="U35" s="102"/>
    </row>
    <row r="36" spans="1:21" x14ac:dyDescent="0.35">
      <c r="A36" s="89"/>
      <c r="D36" s="30" t="s">
        <v>333</v>
      </c>
      <c r="P36" s="31">
        <v>3408</v>
      </c>
      <c r="U36" s="102"/>
    </row>
    <row r="37" spans="1:21" x14ac:dyDescent="0.35">
      <c r="A37" s="89"/>
      <c r="D37" s="30" t="s">
        <v>334</v>
      </c>
      <c r="P37" s="31">
        <v>1847</v>
      </c>
      <c r="U37" s="102"/>
    </row>
    <row r="38" spans="1:21" x14ac:dyDescent="0.35">
      <c r="A38" s="89"/>
      <c r="D38" s="30" t="s">
        <v>336</v>
      </c>
      <c r="P38" s="31">
        <v>5686</v>
      </c>
      <c r="U38" s="102"/>
    </row>
    <row r="39" spans="1:21" x14ac:dyDescent="0.35">
      <c r="A39" s="89"/>
      <c r="D39" s="30" t="s">
        <v>337</v>
      </c>
      <c r="P39" s="31">
        <v>444</v>
      </c>
      <c r="U39" s="102"/>
    </row>
    <row r="40" spans="1:21" x14ac:dyDescent="0.35">
      <c r="A40" s="89"/>
      <c r="D40" s="30" t="s">
        <v>338</v>
      </c>
      <c r="P40" s="31">
        <v>5339</v>
      </c>
      <c r="U40" s="102"/>
    </row>
    <row r="41" spans="1:21" x14ac:dyDescent="0.35">
      <c r="A41" s="89"/>
      <c r="U41" s="102"/>
    </row>
    <row r="42" spans="1:21" x14ac:dyDescent="0.35">
      <c r="A42" s="89"/>
      <c r="B42" s="29" t="s">
        <v>130</v>
      </c>
      <c r="D42" s="336" t="s">
        <v>427</v>
      </c>
      <c r="P42" s="31">
        <v>41654</v>
      </c>
      <c r="U42" s="102"/>
    </row>
    <row r="43" spans="1:21" x14ac:dyDescent="0.35">
      <c r="A43" s="89"/>
      <c r="U43" s="102"/>
    </row>
    <row r="44" spans="1:21" x14ac:dyDescent="0.35">
      <c r="A44" s="89"/>
      <c r="B44" s="29" t="s">
        <v>127</v>
      </c>
      <c r="D44" s="30" t="s">
        <v>447</v>
      </c>
      <c r="P44" s="434">
        <f>SUM(P31:P43)</f>
        <v>-32252</v>
      </c>
      <c r="U44" s="102"/>
    </row>
    <row r="45" spans="1:21" x14ac:dyDescent="0.35">
      <c r="A45" s="89"/>
      <c r="U45" s="102"/>
    </row>
    <row r="46" spans="1:21" ht="13.9" thickBot="1" x14ac:dyDescent="0.4">
      <c r="A46" s="89"/>
      <c r="B46" s="29" t="s">
        <v>448</v>
      </c>
      <c r="D46" s="30" t="s">
        <v>449</v>
      </c>
      <c r="P46" s="337">
        <f>+P28+P44</f>
        <v>668433</v>
      </c>
      <c r="U46" s="102"/>
    </row>
    <row r="47" spans="1:21" ht="13.9" thickTop="1" x14ac:dyDescent="0.35">
      <c r="A47" s="89"/>
      <c r="U47" s="102"/>
    </row>
    <row r="48" spans="1:21" x14ac:dyDescent="0.35">
      <c r="A48" s="89"/>
      <c r="U48" s="102"/>
    </row>
    <row r="49" spans="1:21" x14ac:dyDescent="0.35">
      <c r="A49" s="89"/>
      <c r="U49" s="102"/>
    </row>
    <row r="50" spans="1:21" x14ac:dyDescent="0.35">
      <c r="A50" s="89"/>
      <c r="U50" s="102"/>
    </row>
    <row r="51" spans="1:21" x14ac:dyDescent="0.35">
      <c r="A51" s="89"/>
      <c r="U51" s="102"/>
    </row>
    <row r="52" spans="1:21" ht="15" x14ac:dyDescent="0.4">
      <c r="A52" s="90"/>
      <c r="B52" s="516"/>
      <c r="C52" s="516"/>
      <c r="D52" s="516"/>
      <c r="E52" s="516"/>
      <c r="F52" s="516"/>
      <c r="G52" s="516"/>
      <c r="H52" s="516"/>
      <c r="I52" s="516"/>
      <c r="J52" s="516"/>
      <c r="K52" s="516"/>
      <c r="L52" s="516"/>
      <c r="M52" s="516"/>
      <c r="N52" s="516"/>
      <c r="O52" s="516"/>
      <c r="P52" s="516"/>
      <c r="Q52" s="516"/>
      <c r="R52" s="516"/>
      <c r="S52" s="516"/>
      <c r="T52" s="516"/>
      <c r="U52" s="103"/>
    </row>
    <row r="53" spans="1:21" ht="22.15" x14ac:dyDescent="0.55000000000000004">
      <c r="A53" s="100"/>
      <c r="B53" s="471" t="s">
        <v>450</v>
      </c>
      <c r="C53" s="471"/>
      <c r="D53" s="471"/>
      <c r="E53" s="471"/>
      <c r="F53" s="471"/>
      <c r="G53" s="471"/>
      <c r="H53" s="471"/>
      <c r="I53" s="471"/>
      <c r="J53" s="471"/>
      <c r="K53" s="471"/>
      <c r="L53" s="471"/>
      <c r="M53" s="471"/>
      <c r="N53" s="471"/>
      <c r="O53" s="471"/>
      <c r="P53" s="471"/>
      <c r="Q53" s="471"/>
      <c r="R53" s="471"/>
      <c r="S53" s="471"/>
      <c r="T53" s="471"/>
      <c r="U53" s="101"/>
    </row>
    <row r="54" spans="1:21" ht="22.15" x14ac:dyDescent="0.55000000000000004">
      <c r="A54" s="89"/>
      <c r="B54" s="469" t="s">
        <v>164</v>
      </c>
      <c r="C54" s="470"/>
      <c r="D54" s="470"/>
      <c r="E54" s="470"/>
      <c r="F54" s="470"/>
      <c r="G54" s="470"/>
      <c r="H54" s="470"/>
      <c r="I54" s="470"/>
      <c r="J54" s="470"/>
      <c r="K54" s="470"/>
      <c r="L54" s="470"/>
      <c r="M54" s="470"/>
      <c r="N54" s="470"/>
      <c r="O54" s="470"/>
      <c r="P54" s="470"/>
      <c r="Q54" s="470"/>
      <c r="R54" s="470"/>
      <c r="S54" s="470"/>
      <c r="T54" s="470"/>
      <c r="U54" s="102"/>
    </row>
    <row r="55" spans="1:21" x14ac:dyDescent="0.35">
      <c r="A55" s="89"/>
      <c r="U55" s="102"/>
    </row>
    <row r="56" spans="1:21" x14ac:dyDescent="0.35">
      <c r="A56" s="89"/>
      <c r="B56" s="29" t="s">
        <v>131</v>
      </c>
      <c r="F56" s="86" t="s">
        <v>104</v>
      </c>
      <c r="H56" s="86" t="s">
        <v>105</v>
      </c>
      <c r="I56" s="86"/>
      <c r="J56" s="86" t="s">
        <v>451</v>
      </c>
      <c r="L56" s="33">
        <v>2023</v>
      </c>
      <c r="N56" s="33" t="s">
        <v>452</v>
      </c>
      <c r="P56" s="33" t="s">
        <v>453</v>
      </c>
      <c r="R56" s="86" t="s">
        <v>105</v>
      </c>
      <c r="T56" s="33" t="s">
        <v>147</v>
      </c>
      <c r="U56" s="102"/>
    </row>
    <row r="57" spans="1:21" x14ac:dyDescent="0.35">
      <c r="A57" s="89"/>
      <c r="B57" s="109" t="s">
        <v>99</v>
      </c>
      <c r="D57" s="34" t="s">
        <v>106</v>
      </c>
      <c r="F57" s="35" t="s">
        <v>454</v>
      </c>
      <c r="H57" s="36">
        <v>44927</v>
      </c>
      <c r="I57" s="331"/>
      <c r="J57" s="36" t="s">
        <v>432</v>
      </c>
      <c r="L57" s="35" t="s">
        <v>107</v>
      </c>
      <c r="N57" s="35" t="s">
        <v>433</v>
      </c>
      <c r="P57" s="35" t="s">
        <v>434</v>
      </c>
      <c r="R57" s="36">
        <v>45291</v>
      </c>
      <c r="T57" s="37" t="s">
        <v>148</v>
      </c>
      <c r="U57" s="102"/>
    </row>
    <row r="58" spans="1:21" x14ac:dyDescent="0.35">
      <c r="A58" s="89"/>
      <c r="B58" s="29">
        <v>303</v>
      </c>
      <c r="D58" s="30" t="s">
        <v>108</v>
      </c>
      <c r="F58" s="38">
        <f>5628+19921</f>
        <v>25549</v>
      </c>
      <c r="U58" s="102"/>
    </row>
    <row r="59" spans="1:21" x14ac:dyDescent="0.35">
      <c r="A59" s="89"/>
      <c r="B59" s="29">
        <v>3044</v>
      </c>
      <c r="D59" s="30" t="s">
        <v>435</v>
      </c>
      <c r="F59" s="31">
        <v>8500</v>
      </c>
      <c r="H59" s="38">
        <v>8479</v>
      </c>
      <c r="I59" s="38"/>
      <c r="J59" s="38">
        <v>0</v>
      </c>
      <c r="L59" s="38">
        <v>0</v>
      </c>
      <c r="N59" s="38">
        <v>0</v>
      </c>
      <c r="P59" s="38">
        <f>+L59+N59</f>
        <v>0</v>
      </c>
      <c r="R59" s="38">
        <f>+H59+P59</f>
        <v>8479</v>
      </c>
      <c r="T59" s="33">
        <v>10</v>
      </c>
      <c r="U59" s="102"/>
    </row>
    <row r="60" spans="1:21" x14ac:dyDescent="0.35">
      <c r="A60" s="89"/>
      <c r="B60" s="29">
        <v>3045</v>
      </c>
      <c r="D60" s="30" t="s">
        <v>435</v>
      </c>
      <c r="F60" s="332">
        <v>3070</v>
      </c>
      <c r="G60" s="332"/>
      <c r="H60" s="332">
        <v>3070</v>
      </c>
      <c r="I60" s="332"/>
      <c r="J60" s="332"/>
      <c r="K60" s="332"/>
      <c r="L60" s="332">
        <v>0</v>
      </c>
      <c r="M60" s="332"/>
      <c r="N60" s="332">
        <v>0</v>
      </c>
      <c r="O60" s="332"/>
      <c r="P60" s="332">
        <f>+L60+N60</f>
        <v>0</v>
      </c>
      <c r="R60" s="332">
        <f t="shared" ref="R60:R76" si="2">+H60+P60+J60</f>
        <v>3070</v>
      </c>
      <c r="T60" s="33">
        <v>10</v>
      </c>
      <c r="U60" s="102"/>
    </row>
    <row r="61" spans="1:21" x14ac:dyDescent="0.35">
      <c r="A61" s="89"/>
      <c r="B61" s="29">
        <v>305</v>
      </c>
      <c r="D61" s="30" t="s">
        <v>111</v>
      </c>
      <c r="F61" s="332">
        <v>0</v>
      </c>
      <c r="G61" s="332"/>
      <c r="H61" s="332">
        <v>0</v>
      </c>
      <c r="I61" s="332"/>
      <c r="J61" s="332"/>
      <c r="K61" s="332"/>
      <c r="L61" s="332">
        <v>0</v>
      </c>
      <c r="M61" s="332"/>
      <c r="N61" s="332">
        <v>0</v>
      </c>
      <c r="O61" s="332"/>
      <c r="P61" s="332">
        <f t="shared" ref="P61:P79" si="3">+L61+N61</f>
        <v>0</v>
      </c>
      <c r="R61" s="332">
        <f t="shared" si="2"/>
        <v>0</v>
      </c>
      <c r="U61" s="102"/>
    </row>
    <row r="62" spans="1:21" x14ac:dyDescent="0.35">
      <c r="A62" s="89"/>
      <c r="B62" s="29">
        <v>309</v>
      </c>
      <c r="D62" s="30" t="s">
        <v>112</v>
      </c>
      <c r="F62" s="332">
        <v>0</v>
      </c>
      <c r="G62" s="332"/>
      <c r="H62" s="332">
        <v>0</v>
      </c>
      <c r="I62" s="332"/>
      <c r="J62" s="332"/>
      <c r="K62" s="332"/>
      <c r="L62" s="332">
        <v>0</v>
      </c>
      <c r="M62" s="332"/>
      <c r="N62" s="332">
        <v>0</v>
      </c>
      <c r="O62" s="332"/>
      <c r="P62" s="332">
        <f t="shared" si="3"/>
        <v>0</v>
      </c>
      <c r="R62" s="332">
        <f t="shared" si="2"/>
        <v>0</v>
      </c>
      <c r="U62" s="102"/>
    </row>
    <row r="63" spans="1:21" x14ac:dyDescent="0.35">
      <c r="A63" s="89"/>
      <c r="B63" s="29">
        <v>3112</v>
      </c>
      <c r="D63" s="30" t="s">
        <v>94</v>
      </c>
      <c r="F63" s="332">
        <v>1525938</v>
      </c>
      <c r="G63" s="332"/>
      <c r="H63" s="332">
        <v>269123</v>
      </c>
      <c r="I63" s="332"/>
      <c r="J63" s="332"/>
      <c r="K63" s="332"/>
      <c r="L63" s="332">
        <v>47387</v>
      </c>
      <c r="M63" s="332"/>
      <c r="N63" s="332">
        <v>0</v>
      </c>
      <c r="O63" s="332"/>
      <c r="P63" s="332">
        <f t="shared" si="3"/>
        <v>47387</v>
      </c>
      <c r="R63" s="332">
        <f t="shared" si="2"/>
        <v>316510</v>
      </c>
      <c r="T63" s="33">
        <v>20</v>
      </c>
      <c r="U63" s="102"/>
    </row>
    <row r="64" spans="1:21" x14ac:dyDescent="0.35">
      <c r="A64" s="89"/>
      <c r="B64" s="29">
        <v>3304</v>
      </c>
      <c r="D64" s="30" t="s">
        <v>113</v>
      </c>
      <c r="F64" s="332">
        <v>2751456</v>
      </c>
      <c r="G64" s="332"/>
      <c r="H64" s="332">
        <v>1362415</v>
      </c>
      <c r="I64" s="332"/>
      <c r="J64" s="332"/>
      <c r="K64" s="332"/>
      <c r="L64" s="332">
        <v>102757</v>
      </c>
      <c r="M64" s="332"/>
      <c r="N64" s="332">
        <v>0</v>
      </c>
      <c r="O64" s="332"/>
      <c r="P64" s="332">
        <f t="shared" si="3"/>
        <v>102757</v>
      </c>
      <c r="R64" s="332">
        <f t="shared" si="2"/>
        <v>1465172</v>
      </c>
      <c r="T64" s="33">
        <v>45</v>
      </c>
      <c r="U64" s="102"/>
    </row>
    <row r="65" spans="1:21" x14ac:dyDescent="0.35">
      <c r="A65" s="89"/>
      <c r="B65" s="29">
        <v>3314</v>
      </c>
      <c r="D65" s="30" t="s">
        <v>114</v>
      </c>
      <c r="F65" s="332">
        <v>16507563</v>
      </c>
      <c r="G65" s="332"/>
      <c r="H65" s="332">
        <v>4826624</v>
      </c>
      <c r="I65" s="332"/>
      <c r="J65" s="332"/>
      <c r="K65" s="332"/>
      <c r="L65" s="332">
        <v>221160</v>
      </c>
      <c r="M65" s="332"/>
      <c r="N65" s="332">
        <v>0</v>
      </c>
      <c r="O65" s="332"/>
      <c r="P65" s="332">
        <f t="shared" si="3"/>
        <v>221160</v>
      </c>
      <c r="R65" s="332">
        <f t="shared" si="2"/>
        <v>5047784</v>
      </c>
      <c r="T65" s="333">
        <v>62.5</v>
      </c>
      <c r="U65" s="102"/>
    </row>
    <row r="66" spans="1:21" x14ac:dyDescent="0.35">
      <c r="A66" s="89"/>
      <c r="B66" s="29">
        <v>3324</v>
      </c>
      <c r="D66" s="30" t="s">
        <v>436</v>
      </c>
      <c r="F66" s="332">
        <v>217605</v>
      </c>
      <c r="G66" s="332"/>
      <c r="H66" s="332">
        <v>200077</v>
      </c>
      <c r="I66" s="332"/>
      <c r="J66" s="332"/>
      <c r="K66" s="332"/>
      <c r="L66" s="332">
        <v>2125</v>
      </c>
      <c r="M66" s="332"/>
      <c r="N66" s="332">
        <v>0</v>
      </c>
      <c r="O66" s="332"/>
      <c r="P66" s="332">
        <f t="shared" si="3"/>
        <v>2125</v>
      </c>
      <c r="R66" s="332">
        <f t="shared" si="2"/>
        <v>202202</v>
      </c>
      <c r="T66" s="333">
        <v>10</v>
      </c>
      <c r="U66" s="102"/>
    </row>
    <row r="67" spans="1:21" x14ac:dyDescent="0.35">
      <c r="A67" s="89"/>
      <c r="B67" s="29">
        <v>3334</v>
      </c>
      <c r="D67" s="30" t="s">
        <v>437</v>
      </c>
      <c r="F67" s="332">
        <v>1215347</v>
      </c>
      <c r="G67" s="332"/>
      <c r="H67" s="332">
        <v>444342</v>
      </c>
      <c r="I67" s="332"/>
      <c r="J67" s="332"/>
      <c r="K67" s="332"/>
      <c r="L67" s="332">
        <v>40157</v>
      </c>
      <c r="M67" s="332"/>
      <c r="N67" s="332">
        <v>0</v>
      </c>
      <c r="O67" s="332"/>
      <c r="P67" s="332">
        <f t="shared" si="3"/>
        <v>40157</v>
      </c>
      <c r="R67" s="332">
        <f t="shared" si="2"/>
        <v>484499</v>
      </c>
      <c r="T67" s="33">
        <v>40</v>
      </c>
      <c r="U67" s="102"/>
    </row>
    <row r="68" spans="1:21" x14ac:dyDescent="0.35">
      <c r="A68" s="89"/>
      <c r="B68" s="29">
        <v>3344</v>
      </c>
      <c r="D68" s="30" t="s">
        <v>438</v>
      </c>
      <c r="F68" s="332">
        <f>1769481-413232-3544</f>
        <v>1352705</v>
      </c>
      <c r="G68" s="332"/>
      <c r="H68" s="332">
        <f>508064</f>
        <v>508064</v>
      </c>
      <c r="I68" s="332"/>
      <c r="J68" s="332"/>
      <c r="K68" s="332"/>
      <c r="L68" s="332">
        <f>122144-21-41654</f>
        <v>80469</v>
      </c>
      <c r="M68" s="332"/>
      <c r="N68" s="332">
        <v>0</v>
      </c>
      <c r="O68" s="332"/>
      <c r="P68" s="332">
        <f t="shared" si="3"/>
        <v>80469</v>
      </c>
      <c r="R68" s="332">
        <f t="shared" si="2"/>
        <v>588533</v>
      </c>
      <c r="T68" s="33">
        <v>20</v>
      </c>
      <c r="U68" s="102"/>
    </row>
    <row r="69" spans="1:21" x14ac:dyDescent="0.35">
      <c r="A69" s="89"/>
      <c r="B69" s="29">
        <v>3344</v>
      </c>
      <c r="D69" s="30" t="s">
        <v>455</v>
      </c>
      <c r="F69" s="332">
        <f>413232+3544</f>
        <v>416776</v>
      </c>
      <c r="G69" s="332"/>
      <c r="H69" s="332">
        <v>0</v>
      </c>
      <c r="I69" s="332"/>
      <c r="J69" s="332"/>
      <c r="K69" s="332"/>
      <c r="L69" s="332">
        <f>5.08+11.91+4.2</f>
        <v>21.19</v>
      </c>
      <c r="M69" s="332"/>
      <c r="N69" s="332">
        <v>41654</v>
      </c>
      <c r="O69" s="332"/>
      <c r="P69" s="332">
        <f t="shared" si="3"/>
        <v>41675.19</v>
      </c>
      <c r="R69" s="332">
        <f t="shared" si="2"/>
        <v>41675.19</v>
      </c>
      <c r="T69" s="33">
        <v>10</v>
      </c>
      <c r="U69" s="102"/>
    </row>
    <row r="70" spans="1:21" x14ac:dyDescent="0.35">
      <c r="A70" s="89"/>
      <c r="B70" s="29">
        <v>3345</v>
      </c>
      <c r="D70" s="30" t="s">
        <v>439</v>
      </c>
      <c r="F70" s="332">
        <v>957908</v>
      </c>
      <c r="G70" s="332"/>
      <c r="H70" s="332">
        <v>404011</v>
      </c>
      <c r="I70" s="332"/>
      <c r="J70" s="332"/>
      <c r="K70" s="332"/>
      <c r="L70" s="332">
        <v>23552</v>
      </c>
      <c r="M70" s="332"/>
      <c r="N70" s="332">
        <v>0</v>
      </c>
      <c r="O70" s="332"/>
      <c r="P70" s="332">
        <f t="shared" si="3"/>
        <v>23552</v>
      </c>
      <c r="R70" s="332">
        <f t="shared" si="2"/>
        <v>427563</v>
      </c>
      <c r="T70" s="33">
        <v>45</v>
      </c>
      <c r="U70" s="102"/>
    </row>
    <row r="71" spans="1:21" x14ac:dyDescent="0.35">
      <c r="A71" s="89"/>
      <c r="B71" s="29">
        <v>3354</v>
      </c>
      <c r="D71" s="30" t="s">
        <v>116</v>
      </c>
      <c r="F71" s="332">
        <v>720329</v>
      </c>
      <c r="G71" s="332"/>
      <c r="H71" s="332">
        <v>148898</v>
      </c>
      <c r="I71" s="332"/>
      <c r="J71" s="332"/>
      <c r="K71" s="332"/>
      <c r="L71" s="332">
        <v>13319</v>
      </c>
      <c r="M71" s="332"/>
      <c r="N71" s="332">
        <v>0</v>
      </c>
      <c r="O71" s="332"/>
      <c r="P71" s="332">
        <f t="shared" si="3"/>
        <v>13319</v>
      </c>
      <c r="R71" s="332">
        <f t="shared" si="2"/>
        <v>162217</v>
      </c>
      <c r="T71" s="33">
        <v>50</v>
      </c>
      <c r="U71" s="102"/>
    </row>
    <row r="72" spans="1:21" x14ac:dyDescent="0.35">
      <c r="A72" s="89"/>
      <c r="B72" s="29">
        <v>3392</v>
      </c>
      <c r="D72" s="30" t="s">
        <v>440</v>
      </c>
      <c r="F72" s="332">
        <v>179</v>
      </c>
      <c r="G72" s="332"/>
      <c r="H72" s="332">
        <v>121</v>
      </c>
      <c r="I72" s="332"/>
      <c r="J72" s="332"/>
      <c r="K72" s="332"/>
      <c r="L72" s="332">
        <v>1</v>
      </c>
      <c r="M72" s="332"/>
      <c r="N72" s="332">
        <v>0</v>
      </c>
      <c r="O72" s="332"/>
      <c r="P72" s="332">
        <f t="shared" si="3"/>
        <v>1</v>
      </c>
      <c r="R72" s="332">
        <f t="shared" si="2"/>
        <v>122</v>
      </c>
      <c r="T72" s="33">
        <v>50</v>
      </c>
      <c r="U72" s="102"/>
    </row>
    <row r="73" spans="1:21" x14ac:dyDescent="0.35">
      <c r="A73" s="89"/>
      <c r="B73" s="29">
        <v>3400</v>
      </c>
      <c r="D73" s="30" t="s">
        <v>441</v>
      </c>
      <c r="F73" s="332">
        <f>181905-85880</f>
        <v>96025</v>
      </c>
      <c r="G73" s="332"/>
      <c r="H73" s="332">
        <v>63843</v>
      </c>
      <c r="I73" s="332"/>
      <c r="J73" s="332"/>
      <c r="K73" s="332"/>
      <c r="L73" s="332">
        <f>16812-5726</f>
        <v>11086</v>
      </c>
      <c r="M73" s="332"/>
      <c r="N73" s="332">
        <v>0</v>
      </c>
      <c r="O73" s="332"/>
      <c r="P73" s="332">
        <f t="shared" si="3"/>
        <v>11086</v>
      </c>
      <c r="R73" s="332">
        <f t="shared" si="2"/>
        <v>74929</v>
      </c>
      <c r="T73" s="33">
        <v>5</v>
      </c>
      <c r="U73" s="102"/>
    </row>
    <row r="74" spans="1:21" x14ac:dyDescent="0.35">
      <c r="A74" s="89"/>
      <c r="B74" s="29">
        <v>3400</v>
      </c>
      <c r="D74" s="30" t="s">
        <v>442</v>
      </c>
      <c r="F74" s="332">
        <f>79055+4434+581+180+1630</f>
        <v>85880</v>
      </c>
      <c r="G74" s="332"/>
      <c r="H74" s="332">
        <v>59553</v>
      </c>
      <c r="I74" s="332"/>
      <c r="J74" s="332"/>
      <c r="K74" s="332"/>
      <c r="L74" s="332">
        <f>5270+296+39+12+109</f>
        <v>5726</v>
      </c>
      <c r="M74" s="332"/>
      <c r="N74" s="332">
        <v>0</v>
      </c>
      <c r="O74" s="332"/>
      <c r="P74" s="332">
        <f t="shared" si="3"/>
        <v>5726</v>
      </c>
      <c r="R74" s="332">
        <f t="shared" si="2"/>
        <v>65279</v>
      </c>
      <c r="T74" s="33">
        <v>15</v>
      </c>
      <c r="U74" s="102"/>
    </row>
    <row r="75" spans="1:21" x14ac:dyDescent="0.35">
      <c r="A75" s="89"/>
      <c r="B75" s="29">
        <v>3401</v>
      </c>
      <c r="D75" s="30" t="s">
        <v>443</v>
      </c>
      <c r="F75" s="332">
        <v>70118</v>
      </c>
      <c r="G75" s="332"/>
      <c r="H75" s="332">
        <v>61383</v>
      </c>
      <c r="I75" s="332"/>
      <c r="J75" s="332"/>
      <c r="K75" s="332"/>
      <c r="L75" s="332">
        <v>3783</v>
      </c>
      <c r="M75" s="332"/>
      <c r="N75" s="332">
        <v>0</v>
      </c>
      <c r="O75" s="332"/>
      <c r="P75" s="332">
        <f t="shared" si="3"/>
        <v>3783</v>
      </c>
      <c r="R75" s="332">
        <f t="shared" si="2"/>
        <v>65166</v>
      </c>
      <c r="T75" s="33">
        <v>5</v>
      </c>
      <c r="U75" s="102"/>
    </row>
    <row r="76" spans="1:21" x14ac:dyDescent="0.35">
      <c r="A76" s="89"/>
      <c r="B76" s="29">
        <v>3405</v>
      </c>
      <c r="D76" s="30" t="s">
        <v>117</v>
      </c>
      <c r="F76" s="332">
        <v>19313</v>
      </c>
      <c r="G76" s="332"/>
      <c r="H76" s="332">
        <v>15030</v>
      </c>
      <c r="I76" s="332"/>
      <c r="J76" s="332"/>
      <c r="K76" s="332"/>
      <c r="L76" s="332">
        <v>203</v>
      </c>
      <c r="M76" s="332"/>
      <c r="N76" s="332">
        <v>0</v>
      </c>
      <c r="O76" s="332"/>
      <c r="P76" s="332">
        <f t="shared" si="3"/>
        <v>203</v>
      </c>
      <c r="R76" s="332">
        <f t="shared" si="2"/>
        <v>15233</v>
      </c>
      <c r="T76" s="333">
        <v>22.5</v>
      </c>
      <c r="U76" s="102"/>
    </row>
    <row r="77" spans="1:21" x14ac:dyDescent="0.35">
      <c r="A77" s="89"/>
      <c r="B77" s="29">
        <v>3415</v>
      </c>
      <c r="D77" s="30" t="s">
        <v>119</v>
      </c>
      <c r="F77" s="332">
        <v>39805</v>
      </c>
      <c r="G77" s="332"/>
      <c r="H77" s="332">
        <v>42611</v>
      </c>
      <c r="I77" s="332"/>
      <c r="J77" s="332">
        <v>-42611</v>
      </c>
      <c r="K77" s="332"/>
      <c r="L77" s="332">
        <v>4265</v>
      </c>
      <c r="M77" s="332"/>
      <c r="N77" s="332">
        <v>0</v>
      </c>
      <c r="O77" s="332"/>
      <c r="P77" s="332">
        <f t="shared" si="3"/>
        <v>4265</v>
      </c>
      <c r="R77" s="332">
        <f>+H77+P77+J77</f>
        <v>4265</v>
      </c>
      <c r="T77" s="33">
        <v>7</v>
      </c>
      <c r="U77" s="102"/>
    </row>
    <row r="78" spans="1:21" x14ac:dyDescent="0.35">
      <c r="A78" s="89"/>
      <c r="B78" s="29">
        <v>3435</v>
      </c>
      <c r="D78" s="30" t="s">
        <v>444</v>
      </c>
      <c r="F78" s="332">
        <v>26271</v>
      </c>
      <c r="G78" s="332"/>
      <c r="H78" s="332">
        <v>14316</v>
      </c>
      <c r="I78" s="332"/>
      <c r="J78" s="332"/>
      <c r="K78" s="332"/>
      <c r="L78" s="332">
        <v>1292</v>
      </c>
      <c r="M78" s="332"/>
      <c r="N78" s="332">
        <v>0</v>
      </c>
      <c r="O78" s="332"/>
      <c r="P78" s="332">
        <f t="shared" si="3"/>
        <v>1292</v>
      </c>
      <c r="R78" s="332">
        <f t="shared" ref="R78:R79" si="4">+H78+P78+J78</f>
        <v>15608</v>
      </c>
      <c r="T78" s="333">
        <v>12.5</v>
      </c>
      <c r="U78" s="102"/>
    </row>
    <row r="79" spans="1:21" x14ac:dyDescent="0.35">
      <c r="A79" s="89"/>
      <c r="B79" s="29">
        <v>3465</v>
      </c>
      <c r="D79" s="30" t="s">
        <v>445</v>
      </c>
      <c r="F79" s="332">
        <v>25792</v>
      </c>
      <c r="G79" s="332"/>
      <c r="H79" s="332">
        <v>17202</v>
      </c>
      <c r="I79" s="332"/>
      <c r="J79" s="332"/>
      <c r="K79" s="332"/>
      <c r="L79" s="332">
        <v>1897</v>
      </c>
      <c r="M79" s="332"/>
      <c r="N79" s="332">
        <v>0</v>
      </c>
      <c r="O79" s="332"/>
      <c r="P79" s="332">
        <f t="shared" si="3"/>
        <v>1897</v>
      </c>
      <c r="R79" s="332">
        <f t="shared" si="4"/>
        <v>19099</v>
      </c>
      <c r="T79" s="33">
        <v>10</v>
      </c>
      <c r="U79" s="102"/>
    </row>
    <row r="80" spans="1:21" ht="13.9" thickBot="1" x14ac:dyDescent="0.4">
      <c r="A80" s="89"/>
      <c r="F80" s="39">
        <f>SUM(F58:F79)</f>
        <v>26066129</v>
      </c>
      <c r="H80" s="39">
        <f>SUM(H59:H79)</f>
        <v>8449162</v>
      </c>
      <c r="I80" s="334"/>
      <c r="J80" s="39">
        <f>SUM(J59:J79)</f>
        <v>-42611</v>
      </c>
      <c r="L80" s="39">
        <f>SUM(L59:L79)</f>
        <v>559200.18999999994</v>
      </c>
      <c r="N80" s="39">
        <f>SUM(N59:N79)</f>
        <v>41654</v>
      </c>
      <c r="P80" s="39">
        <f>SUM(P59:P79)</f>
        <v>600854.18999999994</v>
      </c>
      <c r="R80" s="39">
        <f>SUM(R59:R79)</f>
        <v>9007405.1900000013</v>
      </c>
      <c r="U80" s="102"/>
    </row>
    <row r="81" spans="1:21" ht="13.9" thickTop="1" x14ac:dyDescent="0.35">
      <c r="A81" s="90"/>
      <c r="B81" s="109"/>
      <c r="C81" s="87"/>
      <c r="D81" s="87"/>
      <c r="E81" s="87"/>
      <c r="F81" s="88"/>
      <c r="G81" s="87"/>
      <c r="H81" s="88"/>
      <c r="I81" s="88"/>
      <c r="J81" s="88"/>
      <c r="K81" s="87"/>
      <c r="L81" s="88"/>
      <c r="M81" s="87"/>
      <c r="N81" s="88"/>
      <c r="O81" s="87"/>
      <c r="P81" s="88"/>
      <c r="Q81" s="87"/>
      <c r="R81" s="88"/>
      <c r="S81" s="87"/>
      <c r="T81" s="37"/>
      <c r="U81" s="103"/>
    </row>
    <row r="84" spans="1:21" ht="13.9" x14ac:dyDescent="0.4">
      <c r="L84" s="338"/>
    </row>
    <row r="85" spans="1:21" ht="13.9" x14ac:dyDescent="0.4">
      <c r="L85" s="338"/>
    </row>
    <row r="86" spans="1:21" ht="13.9" x14ac:dyDescent="0.4">
      <c r="L86" s="338"/>
    </row>
  </sheetData>
  <mergeCells count="7">
    <mergeCell ref="B52:T52"/>
    <mergeCell ref="B53:T53"/>
    <mergeCell ref="B54:T54"/>
    <mergeCell ref="B3:T3"/>
    <mergeCell ref="B1:T1"/>
    <mergeCell ref="B4:T4"/>
    <mergeCell ref="B5:T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46716-2944-4F60-9073-2388830C9D71}">
  <dimension ref="B1:J25"/>
  <sheetViews>
    <sheetView showGridLines="0" workbookViewId="0">
      <selection activeCell="C5" sqref="C5:H5"/>
    </sheetView>
  </sheetViews>
  <sheetFormatPr defaultColWidth="8.88671875" defaultRowHeight="13.5" x14ac:dyDescent="0.35"/>
  <cols>
    <col min="1" max="1" width="8.88671875" style="41"/>
    <col min="2" max="2" width="1.6640625" style="41" customWidth="1"/>
    <col min="3" max="3" width="12.5546875" style="41" customWidth="1"/>
    <col min="4" max="4" width="14.77734375" style="41" customWidth="1"/>
    <col min="5" max="5" width="1.77734375" style="41" customWidth="1"/>
    <col min="6" max="6" width="14.77734375" style="41" customWidth="1"/>
    <col min="7" max="7" width="0.77734375" style="41" customWidth="1"/>
    <col min="8" max="8" width="14.77734375" style="41" customWidth="1"/>
    <col min="9" max="9" width="1.77734375" style="41" customWidth="1"/>
    <col min="10" max="11" width="8.88671875" style="41"/>
    <col min="12" max="12" width="9" style="41" bestFit="1" customWidth="1"/>
    <col min="13" max="16384" width="8.88671875" style="41"/>
  </cols>
  <sheetData>
    <row r="1" spans="2:10" ht="15" x14ac:dyDescent="0.4">
      <c r="B1" s="40"/>
    </row>
    <row r="2" spans="2:10" ht="15" x14ac:dyDescent="0.4">
      <c r="B2" s="63"/>
      <c r="C2" s="42"/>
      <c r="D2" s="42"/>
      <c r="E2" s="42"/>
      <c r="F2" s="42"/>
      <c r="G2" s="42"/>
      <c r="H2" s="42"/>
      <c r="I2" s="43"/>
    </row>
    <row r="3" spans="2:10" ht="17.649999999999999" x14ac:dyDescent="0.5">
      <c r="B3" s="64"/>
      <c r="C3" s="473" t="s">
        <v>143</v>
      </c>
      <c r="D3" s="473"/>
      <c r="E3" s="473"/>
      <c r="F3" s="473"/>
      <c r="G3" s="473"/>
      <c r="H3" s="473"/>
      <c r="I3" s="474"/>
    </row>
    <row r="4" spans="2:10" ht="17.649999999999999" x14ac:dyDescent="0.5">
      <c r="B4" s="64"/>
      <c r="C4" s="475" t="s">
        <v>26</v>
      </c>
      <c r="D4" s="475"/>
      <c r="E4" s="475"/>
      <c r="F4" s="475"/>
      <c r="G4" s="475"/>
      <c r="H4" s="475"/>
      <c r="I4" s="44"/>
    </row>
    <row r="5" spans="2:10" ht="17.649999999999999" x14ac:dyDescent="0.4">
      <c r="B5" s="64"/>
      <c r="C5" s="476" t="s">
        <v>478</v>
      </c>
      <c r="D5" s="476"/>
      <c r="E5" s="476"/>
      <c r="F5" s="476"/>
      <c r="G5" s="476"/>
      <c r="H5" s="476"/>
      <c r="I5" s="44"/>
      <c r="J5" s="45"/>
    </row>
    <row r="6" spans="2:10" ht="15" x14ac:dyDescent="0.4">
      <c r="B6" s="64"/>
      <c r="C6" s="477" t="s">
        <v>132</v>
      </c>
      <c r="D6" s="477"/>
      <c r="E6" s="477"/>
      <c r="F6" s="477"/>
      <c r="G6" s="477"/>
      <c r="H6" s="477"/>
      <c r="I6" s="44"/>
    </row>
    <row r="7" spans="2:10" ht="15" x14ac:dyDescent="0.4">
      <c r="B7" s="64"/>
      <c r="C7" s="46"/>
      <c r="D7" s="46"/>
      <c r="E7" s="46"/>
      <c r="F7" s="47"/>
      <c r="G7" s="47"/>
      <c r="H7" s="47"/>
      <c r="I7" s="44"/>
    </row>
    <row r="8" spans="2:10" ht="15" x14ac:dyDescent="0.4">
      <c r="B8" s="64"/>
      <c r="C8" s="48"/>
      <c r="D8" s="48"/>
      <c r="E8" s="48"/>
      <c r="F8" s="47"/>
      <c r="G8" s="47"/>
      <c r="H8" s="47"/>
      <c r="I8" s="44"/>
    </row>
    <row r="9" spans="2:10" ht="15.75" customHeight="1" x14ac:dyDescent="0.4">
      <c r="B9" s="64"/>
      <c r="C9" s="47"/>
      <c r="D9" s="472" t="s">
        <v>248</v>
      </c>
      <c r="E9" s="472"/>
      <c r="F9" s="472"/>
      <c r="G9" s="472"/>
      <c r="H9" s="472"/>
      <c r="I9" s="44"/>
    </row>
    <row r="10" spans="2:10" ht="15.75" customHeight="1" x14ac:dyDescent="0.4">
      <c r="B10" s="64"/>
      <c r="C10" s="55" t="s">
        <v>53</v>
      </c>
      <c r="D10" s="92" t="s">
        <v>269</v>
      </c>
      <c r="E10" s="47"/>
      <c r="F10" s="112" t="s">
        <v>249</v>
      </c>
      <c r="G10" s="47"/>
      <c r="H10" s="112" t="s">
        <v>29</v>
      </c>
      <c r="I10" s="44"/>
    </row>
    <row r="11" spans="2:10" ht="15" x14ac:dyDescent="0.4">
      <c r="B11" s="64"/>
      <c r="C11" s="49">
        <v>2024</v>
      </c>
      <c r="D11" s="117">
        <f>'Debt Amort'!E14</f>
        <v>54442.19</v>
      </c>
      <c r="E11" s="117"/>
      <c r="F11" s="117">
        <f>'Debt Amort'!I14</f>
        <v>122964.26999999999</v>
      </c>
      <c r="G11" s="47"/>
      <c r="H11" s="117">
        <f>SUM(D11,F11)</f>
        <v>177406.46</v>
      </c>
      <c r="I11" s="44"/>
    </row>
    <row r="12" spans="2:10" ht="15" x14ac:dyDescent="0.4">
      <c r="B12" s="64"/>
      <c r="C12" s="49">
        <v>2025</v>
      </c>
      <c r="D12" s="50">
        <f>'Debt Amort'!E15</f>
        <v>54440.63</v>
      </c>
      <c r="E12" s="117"/>
      <c r="F12" s="50">
        <f>'Debt Amort'!I15</f>
        <v>151793.75</v>
      </c>
      <c r="G12" s="47"/>
      <c r="H12" s="50">
        <f t="shared" ref="H12:H15" si="0">SUM(D12,F12)</f>
        <v>206234.38</v>
      </c>
      <c r="I12" s="44"/>
    </row>
    <row r="13" spans="2:10" ht="15" x14ac:dyDescent="0.4">
      <c r="B13" s="64"/>
      <c r="C13" s="49">
        <v>2026</v>
      </c>
      <c r="D13" s="50">
        <f>'Debt Amort'!E16</f>
        <v>54429.69</v>
      </c>
      <c r="E13" s="117"/>
      <c r="F13" s="50">
        <f>'Debt Amort'!I16</f>
        <v>152225</v>
      </c>
      <c r="G13" s="47"/>
      <c r="H13" s="50">
        <f t="shared" si="0"/>
        <v>206654.69</v>
      </c>
      <c r="I13" s="44"/>
    </row>
    <row r="14" spans="2:10" ht="15" x14ac:dyDescent="0.4">
      <c r="B14" s="64"/>
      <c r="C14" s="49">
        <v>2027</v>
      </c>
      <c r="D14" s="50">
        <f>'Debt Amort'!E17</f>
        <v>54409.380000000005</v>
      </c>
      <c r="E14" s="117"/>
      <c r="F14" s="50">
        <f>'Debt Amort'!I17</f>
        <v>147550</v>
      </c>
      <c r="G14" s="47"/>
      <c r="H14" s="50">
        <f t="shared" si="0"/>
        <v>201959.38</v>
      </c>
      <c r="I14" s="44"/>
    </row>
    <row r="15" spans="2:10" ht="15" x14ac:dyDescent="0.4">
      <c r="B15" s="64"/>
      <c r="C15" s="49">
        <v>2028</v>
      </c>
      <c r="D15" s="56">
        <f>'Debt Amort'!E18</f>
        <v>54379.69</v>
      </c>
      <c r="E15" s="117"/>
      <c r="F15" s="56">
        <f>'Debt Amort'!I18</f>
        <v>147768.75</v>
      </c>
      <c r="G15" s="47"/>
      <c r="H15" s="56">
        <f t="shared" si="0"/>
        <v>202148.44</v>
      </c>
      <c r="I15" s="44"/>
    </row>
    <row r="16" spans="2:10" ht="15" x14ac:dyDescent="0.4">
      <c r="B16" s="64"/>
      <c r="C16" s="50"/>
      <c r="D16" s="50"/>
      <c r="E16" s="50"/>
      <c r="F16" s="47"/>
      <c r="G16" s="47"/>
      <c r="H16" s="47"/>
      <c r="I16" s="44"/>
    </row>
    <row r="17" spans="2:9" ht="15.4" thickBot="1" x14ac:dyDescent="0.45">
      <c r="B17" s="64"/>
      <c r="C17" s="52" t="s">
        <v>0</v>
      </c>
      <c r="D17" s="105">
        <f>SUM(D11:D16)</f>
        <v>272101.58</v>
      </c>
      <c r="E17" s="52"/>
      <c r="F17" s="106">
        <f>SUM(F11:F16)</f>
        <v>722301.77</v>
      </c>
      <c r="G17" s="47"/>
      <c r="H17" s="106">
        <f t="shared" ref="H17" si="1">SUM(H11:H16)</f>
        <v>994403.35000000009</v>
      </c>
      <c r="I17" s="44"/>
    </row>
    <row r="18" spans="2:9" ht="15.4" thickTop="1" x14ac:dyDescent="0.4">
      <c r="B18" s="64"/>
      <c r="C18" s="51"/>
      <c r="D18" s="51"/>
      <c r="E18" s="51"/>
      <c r="F18" s="47"/>
      <c r="G18" s="47"/>
      <c r="H18" s="47"/>
      <c r="I18" s="44"/>
    </row>
    <row r="19" spans="2:9" ht="15.4" thickBot="1" x14ac:dyDescent="0.45">
      <c r="B19" s="64"/>
      <c r="C19" s="48" t="s">
        <v>122</v>
      </c>
      <c r="D19" s="106">
        <f>ROUND(AVERAGE(D11:D15),0)</f>
        <v>54420</v>
      </c>
      <c r="E19" s="51"/>
      <c r="F19" s="106">
        <f>ROUND(AVERAGE(F11:F15),0)</f>
        <v>144460</v>
      </c>
      <c r="G19" s="47"/>
      <c r="H19" s="106">
        <f t="shared" ref="H19" si="2">ROUND(AVERAGE(H11:H15),0)</f>
        <v>198881</v>
      </c>
      <c r="I19" s="44"/>
    </row>
    <row r="20" spans="2:9" ht="15.4" thickTop="1" x14ac:dyDescent="0.4">
      <c r="B20" s="65"/>
      <c r="C20" s="54"/>
      <c r="D20" s="54"/>
      <c r="E20" s="54"/>
      <c r="F20" s="54"/>
      <c r="G20" s="54"/>
      <c r="H20" s="54"/>
      <c r="I20" s="66"/>
    </row>
    <row r="21" spans="2:9" ht="15" x14ac:dyDescent="0.4">
      <c r="B21" s="65"/>
      <c r="C21" s="47"/>
      <c r="D21" s="47"/>
      <c r="E21" s="47"/>
      <c r="G21" s="47"/>
    </row>
    <row r="22" spans="2:9" ht="15" x14ac:dyDescent="0.4">
      <c r="B22" s="40"/>
      <c r="C22" s="47"/>
      <c r="D22" s="47"/>
      <c r="E22" s="47"/>
      <c r="G22" s="47"/>
    </row>
    <row r="23" spans="2:9" ht="15" x14ac:dyDescent="0.4">
      <c r="B23" s="40"/>
      <c r="C23" s="52"/>
      <c r="D23" s="52"/>
      <c r="E23" s="52"/>
      <c r="G23" s="47"/>
    </row>
    <row r="24" spans="2:9" ht="15" x14ac:dyDescent="0.4">
      <c r="B24" s="40"/>
      <c r="C24" s="53"/>
      <c r="D24" s="53"/>
      <c r="E24" s="53"/>
    </row>
    <row r="25" spans="2:9" ht="15" x14ac:dyDescent="0.4">
      <c r="B25" s="40"/>
    </row>
  </sheetData>
  <mergeCells count="5">
    <mergeCell ref="C3:I3"/>
    <mergeCell ref="C4:H4"/>
    <mergeCell ref="C5:H5"/>
    <mergeCell ref="C6:H6"/>
    <mergeCell ref="D9:H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2AB6E-08F1-4022-9196-9C5C44DBD012}">
  <dimension ref="B2:P81"/>
  <sheetViews>
    <sheetView showGridLines="0" topLeftCell="A5" zoomScale="118" zoomScaleNormal="118" workbookViewId="0">
      <selection activeCell="C5" sqref="C5:O5"/>
    </sheetView>
  </sheetViews>
  <sheetFormatPr defaultColWidth="10.77734375" defaultRowHeight="15.75" x14ac:dyDescent="0.5"/>
  <cols>
    <col min="1" max="1" width="10.77734375" style="7"/>
    <col min="2" max="2" width="1.77734375" style="7" customWidth="1"/>
    <col min="3" max="5" width="10.77734375" style="7"/>
    <col min="6" max="6" width="10.77734375" style="21"/>
    <col min="7" max="7" width="10.77734375" style="7"/>
    <col min="8" max="8" width="1.77734375" style="7" customWidth="1"/>
    <col min="9" max="11" width="10.77734375" style="7"/>
    <col min="12" max="12" width="10.77734375" style="21"/>
    <col min="13" max="13" width="10.77734375" style="7"/>
    <col min="14" max="14" width="1.77734375" style="7" customWidth="1"/>
    <col min="15" max="15" width="10.77734375" style="7"/>
    <col min="16" max="16" width="1.77734375" style="7" customWidth="1"/>
    <col min="17" max="16384" width="10.77734375" style="7"/>
  </cols>
  <sheetData>
    <row r="2" spans="2:16" x14ac:dyDescent="0.5">
      <c r="B2" s="14"/>
      <c r="C2" s="71"/>
      <c r="D2" s="71"/>
      <c r="E2" s="71"/>
      <c r="F2" s="72"/>
      <c r="G2" s="71"/>
      <c r="H2" s="71"/>
      <c r="I2" s="71"/>
      <c r="J2" s="71"/>
      <c r="K2" s="71"/>
      <c r="L2" s="72"/>
      <c r="M2" s="71"/>
      <c r="N2" s="71"/>
      <c r="O2" s="71"/>
      <c r="P2" s="73"/>
    </row>
    <row r="3" spans="2:16" ht="23.25" x14ac:dyDescent="0.7">
      <c r="B3" s="13"/>
      <c r="C3" s="512" t="s">
        <v>70</v>
      </c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74"/>
    </row>
    <row r="4" spans="2:16" ht="23.25" x14ac:dyDescent="0.7">
      <c r="B4" s="13"/>
      <c r="C4" s="512" t="s">
        <v>50</v>
      </c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74"/>
    </row>
    <row r="5" spans="2:16" ht="23.25" x14ac:dyDescent="0.5">
      <c r="B5" s="13"/>
      <c r="C5" s="514" t="s">
        <v>478</v>
      </c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74"/>
    </row>
    <row r="6" spans="2:16" x14ac:dyDescent="0.5">
      <c r="B6" s="15"/>
      <c r="C6" s="75"/>
      <c r="D6" s="75"/>
      <c r="E6" s="75"/>
      <c r="F6" s="76"/>
      <c r="G6" s="75"/>
      <c r="H6" s="75"/>
      <c r="I6" s="75"/>
      <c r="J6" s="75"/>
      <c r="K6" s="75"/>
      <c r="L6" s="76"/>
      <c r="M6" s="75"/>
      <c r="N6" s="75"/>
      <c r="O6" s="75"/>
      <c r="P6" s="77"/>
    </row>
    <row r="7" spans="2:16" x14ac:dyDescent="0.5">
      <c r="B7" s="14"/>
      <c r="C7" s="71"/>
      <c r="D7" s="71"/>
      <c r="E7" s="71"/>
      <c r="F7" s="72"/>
      <c r="G7" s="73"/>
      <c r="H7" s="14"/>
      <c r="I7" s="71"/>
      <c r="J7" s="71"/>
      <c r="K7" s="71"/>
      <c r="L7" s="72"/>
      <c r="M7" s="73"/>
      <c r="N7" s="14"/>
      <c r="O7" s="71"/>
      <c r="P7" s="73"/>
    </row>
    <row r="8" spans="2:16" x14ac:dyDescent="0.5">
      <c r="B8" s="13"/>
      <c r="C8" s="510" t="s">
        <v>350</v>
      </c>
      <c r="D8" s="510"/>
      <c r="E8" s="510"/>
      <c r="F8" s="510"/>
      <c r="G8" s="511"/>
      <c r="H8" s="13"/>
      <c r="I8" s="510" t="s">
        <v>74</v>
      </c>
      <c r="J8" s="510"/>
      <c r="K8" s="510"/>
      <c r="L8" s="510"/>
      <c r="M8" s="511"/>
      <c r="N8" s="13"/>
      <c r="O8" s="437" t="s">
        <v>142</v>
      </c>
      <c r="P8" s="74"/>
    </row>
    <row r="9" spans="2:16" x14ac:dyDescent="0.5">
      <c r="B9" s="13"/>
      <c r="G9" s="74"/>
      <c r="H9" s="13"/>
      <c r="M9" s="74"/>
      <c r="N9" s="13"/>
      <c r="P9" s="74"/>
    </row>
    <row r="10" spans="2:16" x14ac:dyDescent="0.5">
      <c r="B10" s="13"/>
      <c r="C10" s="436" t="s">
        <v>229</v>
      </c>
      <c r="D10" s="60"/>
      <c r="E10" s="40"/>
      <c r="F10" s="219"/>
      <c r="G10" s="220"/>
      <c r="H10" s="13"/>
      <c r="I10" s="436" t="s">
        <v>229</v>
      </c>
      <c r="J10" s="60"/>
      <c r="K10" s="40"/>
      <c r="L10" s="219"/>
      <c r="M10" s="220"/>
      <c r="N10" s="13"/>
      <c r="P10" s="74"/>
    </row>
    <row r="11" spans="2:16" x14ac:dyDescent="0.5">
      <c r="B11" s="13"/>
      <c r="C11" s="40" t="s">
        <v>48</v>
      </c>
      <c r="D11" s="60">
        <v>2000</v>
      </c>
      <c r="E11" s="40" t="s">
        <v>125</v>
      </c>
      <c r="F11" s="221">
        <v>17.84</v>
      </c>
      <c r="G11" s="220" t="s">
        <v>145</v>
      </c>
      <c r="H11" s="13"/>
      <c r="I11" s="40" t="s">
        <v>48</v>
      </c>
      <c r="J11" s="60">
        <v>2000</v>
      </c>
      <c r="K11" s="40" t="s">
        <v>125</v>
      </c>
      <c r="L11" s="221">
        <f>'Rates Comp'!L11</f>
        <v>18.88</v>
      </c>
      <c r="M11" s="220" t="s">
        <v>145</v>
      </c>
      <c r="N11" s="13"/>
      <c r="O11" s="221">
        <f>L11-F11</f>
        <v>1.0399999999999991</v>
      </c>
      <c r="P11" s="74"/>
    </row>
    <row r="12" spans="2:16" x14ac:dyDescent="0.5">
      <c r="B12" s="13"/>
      <c r="C12" s="40" t="s">
        <v>49</v>
      </c>
      <c r="D12" s="60">
        <v>8000</v>
      </c>
      <c r="E12" s="40" t="s">
        <v>125</v>
      </c>
      <c r="F12" s="222">
        <v>6.45E-3</v>
      </c>
      <c r="G12" s="220" t="s">
        <v>144</v>
      </c>
      <c r="H12" s="13"/>
      <c r="I12" s="40" t="s">
        <v>49</v>
      </c>
      <c r="J12" s="60">
        <v>8000</v>
      </c>
      <c r="K12" s="40" t="s">
        <v>125</v>
      </c>
      <c r="L12" s="222">
        <f>'Rates Comp'!L12</f>
        <v>6.8199999999999997E-3</v>
      </c>
      <c r="M12" s="220" t="s">
        <v>144</v>
      </c>
      <c r="N12" s="13"/>
      <c r="O12" s="222">
        <f>L12-F12</f>
        <v>3.6999999999999967E-4</v>
      </c>
      <c r="P12" s="74"/>
    </row>
    <row r="13" spans="2:16" x14ac:dyDescent="0.5">
      <c r="B13" s="13"/>
      <c r="C13" s="40" t="s">
        <v>49</v>
      </c>
      <c r="D13" s="60">
        <v>190000</v>
      </c>
      <c r="E13" s="40" t="s">
        <v>125</v>
      </c>
      <c r="F13" s="222">
        <v>5.7800000000000004E-3</v>
      </c>
      <c r="G13" s="220" t="s">
        <v>144</v>
      </c>
      <c r="H13" s="13"/>
      <c r="I13" s="40" t="s">
        <v>49</v>
      </c>
      <c r="J13" s="60">
        <v>190000</v>
      </c>
      <c r="K13" s="40" t="s">
        <v>125</v>
      </c>
      <c r="L13" s="222">
        <f>'Rates Comp'!L13</f>
        <v>6.1200000000000004E-3</v>
      </c>
      <c r="M13" s="220" t="s">
        <v>144</v>
      </c>
      <c r="N13" s="13"/>
      <c r="O13" s="222">
        <f>L13-F13</f>
        <v>3.4000000000000002E-4</v>
      </c>
      <c r="P13" s="74"/>
    </row>
    <row r="14" spans="2:16" x14ac:dyDescent="0.5">
      <c r="B14" s="13"/>
      <c r="C14" s="40" t="s">
        <v>49</v>
      </c>
      <c r="D14" s="60">
        <v>400000</v>
      </c>
      <c r="E14" s="40" t="s">
        <v>125</v>
      </c>
      <c r="F14" s="222">
        <v>5.4099999999999999E-3</v>
      </c>
      <c r="G14" s="220" t="s">
        <v>144</v>
      </c>
      <c r="H14" s="13"/>
      <c r="I14" s="40" t="s">
        <v>49</v>
      </c>
      <c r="J14" s="60">
        <v>400000</v>
      </c>
      <c r="K14" s="40" t="s">
        <v>125</v>
      </c>
      <c r="L14" s="222">
        <f>'Rates Comp'!L14</f>
        <v>5.7200000000000003E-3</v>
      </c>
      <c r="M14" s="220" t="s">
        <v>144</v>
      </c>
      <c r="N14" s="13"/>
      <c r="O14" s="222">
        <f>L14-F14</f>
        <v>3.1000000000000038E-4</v>
      </c>
      <c r="P14" s="74"/>
    </row>
    <row r="15" spans="2:16" x14ac:dyDescent="0.5">
      <c r="B15" s="13"/>
      <c r="C15" s="40" t="s">
        <v>76</v>
      </c>
      <c r="D15" s="60">
        <f>SUM(D11:D14)</f>
        <v>600000</v>
      </c>
      <c r="E15" s="40" t="s">
        <v>125</v>
      </c>
      <c r="F15" s="222">
        <v>4.0099999999999997E-3</v>
      </c>
      <c r="G15" s="220" t="s">
        <v>144</v>
      </c>
      <c r="H15" s="13"/>
      <c r="I15" s="40" t="s">
        <v>76</v>
      </c>
      <c r="J15" s="60">
        <f>SUM(J11:J14)</f>
        <v>600000</v>
      </c>
      <c r="K15" s="40" t="s">
        <v>125</v>
      </c>
      <c r="L15" s="222">
        <f>'Rates Comp'!L15</f>
        <v>4.2399999999999998E-3</v>
      </c>
      <c r="M15" s="220" t="s">
        <v>144</v>
      </c>
      <c r="N15" s="13"/>
      <c r="O15" s="222">
        <f>L15-F15</f>
        <v>2.3000000000000017E-4</v>
      </c>
      <c r="P15" s="74"/>
    </row>
    <row r="16" spans="2:16" x14ac:dyDescent="0.5">
      <c r="B16" s="13"/>
      <c r="C16" s="40"/>
      <c r="D16" s="60"/>
      <c r="E16" s="40"/>
      <c r="F16" s="222"/>
      <c r="G16" s="220"/>
      <c r="H16" s="13"/>
      <c r="I16" s="40"/>
      <c r="J16" s="60"/>
      <c r="K16" s="40"/>
      <c r="L16" s="222"/>
      <c r="M16" s="220"/>
      <c r="N16" s="13"/>
      <c r="O16" s="222"/>
      <c r="P16" s="74"/>
    </row>
    <row r="17" spans="2:16" x14ac:dyDescent="0.5">
      <c r="B17" s="13"/>
      <c r="C17" s="436" t="s">
        <v>346</v>
      </c>
      <c r="D17" s="60"/>
      <c r="E17" s="40"/>
      <c r="F17" s="40"/>
      <c r="G17" s="220"/>
      <c r="H17" s="13"/>
      <c r="I17" s="436" t="s">
        <v>346</v>
      </c>
      <c r="J17" s="60"/>
      <c r="K17" s="40"/>
      <c r="L17" s="40"/>
      <c r="M17" s="220"/>
      <c r="N17" s="13"/>
      <c r="O17" s="40"/>
      <c r="P17" s="74"/>
    </row>
    <row r="18" spans="2:16" x14ac:dyDescent="0.5">
      <c r="B18" s="13"/>
      <c r="C18" s="40" t="s">
        <v>48</v>
      </c>
      <c r="D18" s="60">
        <v>3000</v>
      </c>
      <c r="E18" s="40" t="s">
        <v>125</v>
      </c>
      <c r="F18" s="221">
        <v>24.85</v>
      </c>
      <c r="G18" s="220" t="s">
        <v>145</v>
      </c>
      <c r="H18" s="13"/>
      <c r="I18" s="40" t="s">
        <v>48</v>
      </c>
      <c r="J18" s="60">
        <v>3000</v>
      </c>
      <c r="K18" s="40" t="s">
        <v>125</v>
      </c>
      <c r="L18" s="221">
        <f>'Rates Comp'!L18</f>
        <v>26.290000000000003</v>
      </c>
      <c r="M18" s="220" t="s">
        <v>145</v>
      </c>
      <c r="N18" s="13"/>
      <c r="O18" s="221">
        <f>L18-F18</f>
        <v>1.4400000000000013</v>
      </c>
      <c r="P18" s="74"/>
    </row>
    <row r="19" spans="2:16" x14ac:dyDescent="0.5">
      <c r="B19" s="13"/>
      <c r="C19" s="40" t="s">
        <v>49</v>
      </c>
      <c r="D19" s="60">
        <v>7000</v>
      </c>
      <c r="E19" s="40" t="s">
        <v>125</v>
      </c>
      <c r="F19" s="222">
        <f>F12</f>
        <v>6.45E-3</v>
      </c>
      <c r="G19" s="220" t="s">
        <v>144</v>
      </c>
      <c r="H19" s="13"/>
      <c r="I19" s="40" t="s">
        <v>49</v>
      </c>
      <c r="J19" s="60">
        <v>7000</v>
      </c>
      <c r="K19" s="40" t="s">
        <v>125</v>
      </c>
      <c r="L19" s="222">
        <f>'Rates Comp'!L19</f>
        <v>6.8199999999999997E-3</v>
      </c>
      <c r="M19" s="220" t="s">
        <v>144</v>
      </c>
      <c r="N19" s="13"/>
      <c r="O19" s="222">
        <f>L19-F19</f>
        <v>3.6999999999999967E-4</v>
      </c>
      <c r="P19" s="74"/>
    </row>
    <row r="20" spans="2:16" x14ac:dyDescent="0.5">
      <c r="B20" s="13"/>
      <c r="C20" s="40" t="s">
        <v>49</v>
      </c>
      <c r="D20" s="60">
        <v>190000</v>
      </c>
      <c r="E20" s="40" t="s">
        <v>125</v>
      </c>
      <c r="F20" s="222">
        <f t="shared" ref="F20:F22" si="0">F13</f>
        <v>5.7800000000000004E-3</v>
      </c>
      <c r="G20" s="220" t="s">
        <v>144</v>
      </c>
      <c r="H20" s="13"/>
      <c r="I20" s="40" t="s">
        <v>49</v>
      </c>
      <c r="J20" s="60">
        <v>190000</v>
      </c>
      <c r="K20" s="40" t="s">
        <v>125</v>
      </c>
      <c r="L20" s="222">
        <f>'Rates Comp'!L20</f>
        <v>6.1200000000000004E-3</v>
      </c>
      <c r="M20" s="220" t="s">
        <v>144</v>
      </c>
      <c r="N20" s="13"/>
      <c r="O20" s="222">
        <f>L20-F20</f>
        <v>3.4000000000000002E-4</v>
      </c>
      <c r="P20" s="74"/>
    </row>
    <row r="21" spans="2:16" x14ac:dyDescent="0.5">
      <c r="B21" s="13"/>
      <c r="C21" s="40" t="s">
        <v>49</v>
      </c>
      <c r="D21" s="60">
        <v>400000</v>
      </c>
      <c r="E21" s="40" t="s">
        <v>125</v>
      </c>
      <c r="F21" s="222">
        <f t="shared" si="0"/>
        <v>5.4099999999999999E-3</v>
      </c>
      <c r="G21" s="220" t="s">
        <v>144</v>
      </c>
      <c r="H21" s="13"/>
      <c r="I21" s="40" t="s">
        <v>49</v>
      </c>
      <c r="J21" s="60">
        <v>400000</v>
      </c>
      <c r="K21" s="40" t="s">
        <v>125</v>
      </c>
      <c r="L21" s="222">
        <f>'Rates Comp'!L21</f>
        <v>5.7200000000000003E-3</v>
      </c>
      <c r="M21" s="220" t="s">
        <v>144</v>
      </c>
      <c r="N21" s="13"/>
      <c r="O21" s="222">
        <f>L21-F21</f>
        <v>3.1000000000000038E-4</v>
      </c>
      <c r="P21" s="74"/>
    </row>
    <row r="22" spans="2:16" x14ac:dyDescent="0.5">
      <c r="B22" s="13"/>
      <c r="C22" s="40" t="s">
        <v>76</v>
      </c>
      <c r="D22" s="60">
        <f>SUM(D18:D21)</f>
        <v>600000</v>
      </c>
      <c r="E22" s="40" t="s">
        <v>125</v>
      </c>
      <c r="F22" s="222">
        <f t="shared" si="0"/>
        <v>4.0099999999999997E-3</v>
      </c>
      <c r="G22" s="220" t="s">
        <v>144</v>
      </c>
      <c r="H22" s="13"/>
      <c r="I22" s="40" t="s">
        <v>76</v>
      </c>
      <c r="J22" s="60">
        <f>SUM(J18:J21)</f>
        <v>600000</v>
      </c>
      <c r="K22" s="40" t="s">
        <v>125</v>
      </c>
      <c r="L22" s="222">
        <f>'Rates Comp'!L22</f>
        <v>4.2399999999999998E-3</v>
      </c>
      <c r="M22" s="220" t="s">
        <v>144</v>
      </c>
      <c r="N22" s="13"/>
      <c r="O22" s="222">
        <f>L22-F22</f>
        <v>2.3000000000000017E-4</v>
      </c>
      <c r="P22" s="74"/>
    </row>
    <row r="23" spans="2:16" x14ac:dyDescent="0.5">
      <c r="B23" s="13"/>
      <c r="C23" s="40"/>
      <c r="D23" s="60"/>
      <c r="E23" s="40"/>
      <c r="F23" s="222"/>
      <c r="G23" s="220"/>
      <c r="H23" s="13"/>
      <c r="I23" s="40"/>
      <c r="J23" s="60"/>
      <c r="K23" s="40"/>
      <c r="L23" s="222"/>
      <c r="M23" s="220"/>
      <c r="N23" s="440"/>
      <c r="O23" s="222"/>
      <c r="P23" s="74"/>
    </row>
    <row r="24" spans="2:16" x14ac:dyDescent="0.5">
      <c r="B24" s="13"/>
      <c r="C24" s="436" t="s">
        <v>230</v>
      </c>
      <c r="D24" s="60"/>
      <c r="E24" s="40"/>
      <c r="F24" s="40"/>
      <c r="G24" s="220"/>
      <c r="H24" s="13"/>
      <c r="I24" s="436" t="s">
        <v>230</v>
      </c>
      <c r="J24" s="60"/>
      <c r="K24" s="40"/>
      <c r="L24" s="40"/>
      <c r="M24" s="220"/>
      <c r="N24" s="13"/>
      <c r="O24" s="40"/>
      <c r="P24" s="74"/>
    </row>
    <row r="25" spans="2:16" x14ac:dyDescent="0.5">
      <c r="B25" s="13"/>
      <c r="C25" s="40" t="s">
        <v>48</v>
      </c>
      <c r="D25" s="60">
        <v>5000</v>
      </c>
      <c r="E25" s="40" t="s">
        <v>125</v>
      </c>
      <c r="F25" s="221">
        <v>38.29</v>
      </c>
      <c r="G25" s="220" t="s">
        <v>145</v>
      </c>
      <c r="H25" s="13"/>
      <c r="I25" s="40" t="s">
        <v>48</v>
      </c>
      <c r="J25" s="60">
        <v>5000</v>
      </c>
      <c r="K25" s="40" t="s">
        <v>125</v>
      </c>
      <c r="L25" s="221">
        <f>'Rates Comp'!L25</f>
        <v>40.51</v>
      </c>
      <c r="M25" s="220" t="s">
        <v>145</v>
      </c>
      <c r="N25" s="13"/>
      <c r="O25" s="221">
        <f>L25-F25</f>
        <v>2.2199999999999989</v>
      </c>
      <c r="P25" s="74"/>
    </row>
    <row r="26" spans="2:16" x14ac:dyDescent="0.5">
      <c r="B26" s="13"/>
      <c r="C26" s="40" t="s">
        <v>49</v>
      </c>
      <c r="D26" s="60">
        <v>5000</v>
      </c>
      <c r="E26" s="40" t="s">
        <v>125</v>
      </c>
      <c r="F26" s="222">
        <f>F19</f>
        <v>6.45E-3</v>
      </c>
      <c r="G26" s="220" t="s">
        <v>144</v>
      </c>
      <c r="H26" s="13"/>
      <c r="I26" s="40" t="s">
        <v>49</v>
      </c>
      <c r="J26" s="60">
        <v>5000</v>
      </c>
      <c r="K26" s="40" t="s">
        <v>125</v>
      </c>
      <c r="L26" s="222">
        <f>'Rates Comp'!L26</f>
        <v>6.8199999999999997E-3</v>
      </c>
      <c r="M26" s="220" t="s">
        <v>144</v>
      </c>
      <c r="N26" s="13"/>
      <c r="O26" s="222">
        <f>L26-F26</f>
        <v>3.6999999999999967E-4</v>
      </c>
      <c r="P26" s="74"/>
    </row>
    <row r="27" spans="2:16" x14ac:dyDescent="0.5">
      <c r="B27" s="13"/>
      <c r="C27" s="40" t="s">
        <v>49</v>
      </c>
      <c r="D27" s="60">
        <v>190000</v>
      </c>
      <c r="E27" s="40" t="s">
        <v>125</v>
      </c>
      <c r="F27" s="222">
        <f t="shared" ref="F27:F29" si="1">F20</f>
        <v>5.7800000000000004E-3</v>
      </c>
      <c r="G27" s="220" t="s">
        <v>144</v>
      </c>
      <c r="H27" s="13"/>
      <c r="I27" s="40" t="s">
        <v>49</v>
      </c>
      <c r="J27" s="60">
        <v>190000</v>
      </c>
      <c r="K27" s="40" t="s">
        <v>125</v>
      </c>
      <c r="L27" s="222">
        <f>'Rates Comp'!L27</f>
        <v>6.1200000000000004E-3</v>
      </c>
      <c r="M27" s="220" t="s">
        <v>144</v>
      </c>
      <c r="N27" s="13"/>
      <c r="O27" s="222">
        <f>L27-F27</f>
        <v>3.4000000000000002E-4</v>
      </c>
      <c r="P27" s="74"/>
    </row>
    <row r="28" spans="2:16" x14ac:dyDescent="0.5">
      <c r="B28" s="13"/>
      <c r="C28" s="40" t="s">
        <v>49</v>
      </c>
      <c r="D28" s="60">
        <v>400000</v>
      </c>
      <c r="E28" s="40" t="s">
        <v>125</v>
      </c>
      <c r="F28" s="222">
        <f t="shared" si="1"/>
        <v>5.4099999999999999E-3</v>
      </c>
      <c r="G28" s="220" t="s">
        <v>144</v>
      </c>
      <c r="H28" s="13"/>
      <c r="I28" s="40" t="s">
        <v>49</v>
      </c>
      <c r="J28" s="60">
        <v>400000</v>
      </c>
      <c r="K28" s="40" t="s">
        <v>125</v>
      </c>
      <c r="L28" s="222">
        <f>'Rates Comp'!L28</f>
        <v>5.7200000000000003E-3</v>
      </c>
      <c r="M28" s="220" t="s">
        <v>144</v>
      </c>
      <c r="N28" s="13"/>
      <c r="O28" s="222">
        <f>L28-F28</f>
        <v>3.1000000000000038E-4</v>
      </c>
      <c r="P28" s="74"/>
    </row>
    <row r="29" spans="2:16" x14ac:dyDescent="0.5">
      <c r="B29" s="13"/>
      <c r="C29" s="40" t="s">
        <v>76</v>
      </c>
      <c r="D29" s="60">
        <f>SUM(D25:D28)</f>
        <v>600000</v>
      </c>
      <c r="E29" s="40" t="s">
        <v>125</v>
      </c>
      <c r="F29" s="222">
        <f t="shared" si="1"/>
        <v>4.0099999999999997E-3</v>
      </c>
      <c r="G29" s="220" t="s">
        <v>144</v>
      </c>
      <c r="H29" s="13"/>
      <c r="I29" s="40" t="s">
        <v>76</v>
      </c>
      <c r="J29" s="60">
        <f>SUM(J25:J28)</f>
        <v>600000</v>
      </c>
      <c r="K29" s="40" t="s">
        <v>125</v>
      </c>
      <c r="L29" s="222">
        <f>'Rates Comp'!L29</f>
        <v>4.2399999999999998E-3</v>
      </c>
      <c r="M29" s="220" t="s">
        <v>144</v>
      </c>
      <c r="N29" s="13"/>
      <c r="O29" s="222">
        <f>L29-F29</f>
        <v>2.3000000000000017E-4</v>
      </c>
      <c r="P29" s="74"/>
    </row>
    <row r="30" spans="2:16" x14ac:dyDescent="0.5">
      <c r="B30" s="13"/>
      <c r="C30" s="40"/>
      <c r="D30" s="60"/>
      <c r="E30" s="40"/>
      <c r="F30" s="222"/>
      <c r="G30" s="220"/>
      <c r="H30" s="13"/>
      <c r="I30" s="40"/>
      <c r="J30" s="60"/>
      <c r="K30" s="40"/>
      <c r="L30" s="222"/>
      <c r="M30" s="220"/>
      <c r="N30" s="13"/>
      <c r="O30" s="222"/>
      <c r="P30" s="74"/>
    </row>
    <row r="31" spans="2:16" x14ac:dyDescent="0.5">
      <c r="B31" s="13"/>
      <c r="C31" s="436" t="s">
        <v>231</v>
      </c>
      <c r="D31" s="60"/>
      <c r="E31" s="40"/>
      <c r="F31" s="222"/>
      <c r="G31" s="220"/>
      <c r="H31" s="13"/>
      <c r="I31" s="436" t="s">
        <v>231</v>
      </c>
      <c r="J31" s="60"/>
      <c r="K31" s="40"/>
      <c r="L31" s="222"/>
      <c r="M31" s="220"/>
      <c r="N31" s="13"/>
      <c r="O31" s="222"/>
      <c r="P31" s="74"/>
    </row>
    <row r="32" spans="2:16" x14ac:dyDescent="0.5">
      <c r="B32" s="13"/>
      <c r="C32" s="40" t="s">
        <v>48</v>
      </c>
      <c r="D32" s="60">
        <v>10000</v>
      </c>
      <c r="E32" s="40" t="s">
        <v>125</v>
      </c>
      <c r="F32" s="221">
        <v>77.12</v>
      </c>
      <c r="G32" s="220" t="s">
        <v>145</v>
      </c>
      <c r="H32" s="13"/>
      <c r="I32" s="40" t="s">
        <v>48</v>
      </c>
      <c r="J32" s="60">
        <v>10000</v>
      </c>
      <c r="K32" s="40" t="s">
        <v>125</v>
      </c>
      <c r="L32" s="221">
        <f>'Rates Comp'!L32</f>
        <v>81.600000000000009</v>
      </c>
      <c r="M32" s="220" t="s">
        <v>145</v>
      </c>
      <c r="N32" s="13"/>
      <c r="O32" s="221">
        <f>L32-F32</f>
        <v>4.480000000000004</v>
      </c>
      <c r="P32" s="74"/>
    </row>
    <row r="33" spans="2:16" x14ac:dyDescent="0.5">
      <c r="B33" s="13"/>
      <c r="C33" s="40" t="s">
        <v>49</v>
      </c>
      <c r="D33" s="60">
        <v>190000</v>
      </c>
      <c r="E33" s="40" t="s">
        <v>125</v>
      </c>
      <c r="F33" s="222">
        <f>F27</f>
        <v>5.7800000000000004E-3</v>
      </c>
      <c r="G33" s="220" t="s">
        <v>144</v>
      </c>
      <c r="H33" s="13"/>
      <c r="I33" s="40" t="s">
        <v>49</v>
      </c>
      <c r="J33" s="60">
        <v>190000</v>
      </c>
      <c r="K33" s="40" t="s">
        <v>125</v>
      </c>
      <c r="L33" s="222">
        <f>'Rates Comp'!L33</f>
        <v>6.1200000000000004E-3</v>
      </c>
      <c r="M33" s="220" t="s">
        <v>144</v>
      </c>
      <c r="N33" s="13"/>
      <c r="O33" s="222">
        <f>L33-F33</f>
        <v>3.4000000000000002E-4</v>
      </c>
      <c r="P33" s="74"/>
    </row>
    <row r="34" spans="2:16" x14ac:dyDescent="0.5">
      <c r="B34" s="13"/>
      <c r="C34" s="40" t="s">
        <v>49</v>
      </c>
      <c r="D34" s="60">
        <v>400000</v>
      </c>
      <c r="E34" s="40" t="s">
        <v>125</v>
      </c>
      <c r="F34" s="222">
        <f t="shared" ref="F34:F35" si="2">F28</f>
        <v>5.4099999999999999E-3</v>
      </c>
      <c r="G34" s="220" t="s">
        <v>144</v>
      </c>
      <c r="H34" s="13"/>
      <c r="I34" s="40" t="s">
        <v>49</v>
      </c>
      <c r="J34" s="60">
        <v>400000</v>
      </c>
      <c r="K34" s="40" t="s">
        <v>125</v>
      </c>
      <c r="L34" s="222">
        <f>'Rates Comp'!L34</f>
        <v>5.7200000000000003E-3</v>
      </c>
      <c r="M34" s="220" t="s">
        <v>144</v>
      </c>
      <c r="N34" s="13"/>
      <c r="O34" s="222">
        <f>L34-F34</f>
        <v>3.1000000000000038E-4</v>
      </c>
      <c r="P34" s="74"/>
    </row>
    <row r="35" spans="2:16" x14ac:dyDescent="0.5">
      <c r="B35" s="13"/>
      <c r="C35" s="40" t="s">
        <v>76</v>
      </c>
      <c r="D35" s="60">
        <f>SUM(D31:D34)</f>
        <v>600000</v>
      </c>
      <c r="E35" s="40" t="s">
        <v>125</v>
      </c>
      <c r="F35" s="222">
        <f t="shared" si="2"/>
        <v>4.0099999999999997E-3</v>
      </c>
      <c r="G35" s="220" t="s">
        <v>144</v>
      </c>
      <c r="H35" s="13"/>
      <c r="I35" s="40" t="s">
        <v>76</v>
      </c>
      <c r="J35" s="60">
        <f>SUM(J31:J34)</f>
        <v>600000</v>
      </c>
      <c r="K35" s="40" t="s">
        <v>125</v>
      </c>
      <c r="L35" s="222">
        <f>'Rates Comp'!L35</f>
        <v>4.2399999999999998E-3</v>
      </c>
      <c r="M35" s="220" t="s">
        <v>144</v>
      </c>
      <c r="N35" s="13"/>
      <c r="O35" s="222">
        <f>L35-F35</f>
        <v>2.3000000000000017E-4</v>
      </c>
      <c r="P35" s="74"/>
    </row>
    <row r="36" spans="2:16" x14ac:dyDescent="0.5">
      <c r="B36" s="13"/>
      <c r="C36" s="40"/>
      <c r="D36" s="60"/>
      <c r="E36" s="40"/>
      <c r="F36" s="222"/>
      <c r="G36" s="220"/>
      <c r="H36" s="13"/>
      <c r="I36" s="40"/>
      <c r="J36" s="60"/>
      <c r="K36" s="40"/>
      <c r="L36" s="222"/>
      <c r="M36" s="220"/>
      <c r="N36" s="13"/>
      <c r="O36" s="222"/>
      <c r="P36" s="74"/>
    </row>
    <row r="37" spans="2:16" x14ac:dyDescent="0.5">
      <c r="B37" s="13"/>
      <c r="C37" s="436" t="s">
        <v>232</v>
      </c>
      <c r="D37" s="60"/>
      <c r="E37" s="40"/>
      <c r="F37" s="40"/>
      <c r="G37" s="220"/>
      <c r="H37" s="13"/>
      <c r="I37" s="436" t="s">
        <v>232</v>
      </c>
      <c r="J37" s="60"/>
      <c r="K37" s="40"/>
      <c r="L37" s="40"/>
      <c r="M37" s="220"/>
      <c r="N37" s="13"/>
      <c r="O37" s="40"/>
      <c r="P37" s="74"/>
    </row>
    <row r="38" spans="2:16" x14ac:dyDescent="0.5">
      <c r="B38" s="13"/>
      <c r="C38" s="40" t="s">
        <v>48</v>
      </c>
      <c r="D38" s="60">
        <v>16000</v>
      </c>
      <c r="E38" s="40" t="s">
        <v>125</v>
      </c>
      <c r="F38" s="221">
        <v>113.43</v>
      </c>
      <c r="G38" s="220" t="s">
        <v>145</v>
      </c>
      <c r="H38" s="13"/>
      <c r="I38" s="40" t="s">
        <v>48</v>
      </c>
      <c r="J38" s="60">
        <v>16000</v>
      </c>
      <c r="K38" s="40" t="s">
        <v>125</v>
      </c>
      <c r="L38" s="221">
        <f>'Rates Comp'!L38</f>
        <v>120.02000000000001</v>
      </c>
      <c r="M38" s="220" t="s">
        <v>145</v>
      </c>
      <c r="N38" s="13"/>
      <c r="O38" s="221">
        <f>L38-F38</f>
        <v>6.5900000000000034</v>
      </c>
      <c r="P38" s="74"/>
    </row>
    <row r="39" spans="2:16" x14ac:dyDescent="0.5">
      <c r="B39" s="13"/>
      <c r="C39" s="40" t="s">
        <v>49</v>
      </c>
      <c r="D39" s="60">
        <v>184000</v>
      </c>
      <c r="E39" s="40" t="s">
        <v>125</v>
      </c>
      <c r="F39" s="222">
        <f>F33</f>
        <v>5.7800000000000004E-3</v>
      </c>
      <c r="G39" s="220" t="s">
        <v>144</v>
      </c>
      <c r="H39" s="13"/>
      <c r="I39" s="40" t="s">
        <v>49</v>
      </c>
      <c r="J39" s="60">
        <v>184000</v>
      </c>
      <c r="K39" s="40" t="s">
        <v>125</v>
      </c>
      <c r="L39" s="222">
        <f>'Rates Comp'!L39</f>
        <v>6.1200000000000004E-3</v>
      </c>
      <c r="M39" s="220" t="s">
        <v>144</v>
      </c>
      <c r="N39" s="13"/>
      <c r="O39" s="222">
        <f>L39-F39</f>
        <v>3.4000000000000002E-4</v>
      </c>
      <c r="P39" s="74"/>
    </row>
    <row r="40" spans="2:16" x14ac:dyDescent="0.5">
      <c r="B40" s="13"/>
      <c r="C40" s="40" t="s">
        <v>49</v>
      </c>
      <c r="D40" s="60">
        <v>400000</v>
      </c>
      <c r="E40" s="40" t="s">
        <v>125</v>
      </c>
      <c r="F40" s="222">
        <f t="shared" ref="F40:F41" si="3">F34</f>
        <v>5.4099999999999999E-3</v>
      </c>
      <c r="G40" s="220" t="s">
        <v>144</v>
      </c>
      <c r="H40" s="13"/>
      <c r="I40" s="40" t="s">
        <v>49</v>
      </c>
      <c r="J40" s="60">
        <v>400000</v>
      </c>
      <c r="K40" s="40" t="s">
        <v>125</v>
      </c>
      <c r="L40" s="222">
        <f>'Rates Comp'!L40</f>
        <v>5.7200000000000003E-3</v>
      </c>
      <c r="M40" s="220" t="s">
        <v>144</v>
      </c>
      <c r="N40" s="13"/>
      <c r="O40" s="222">
        <f>L40-F40</f>
        <v>3.1000000000000038E-4</v>
      </c>
      <c r="P40" s="74"/>
    </row>
    <row r="41" spans="2:16" x14ac:dyDescent="0.5">
      <c r="B41" s="13"/>
      <c r="C41" s="40" t="s">
        <v>76</v>
      </c>
      <c r="D41" s="60">
        <f>SUM(D37:D40)</f>
        <v>600000</v>
      </c>
      <c r="E41" s="40" t="s">
        <v>125</v>
      </c>
      <c r="F41" s="222">
        <f t="shared" si="3"/>
        <v>4.0099999999999997E-3</v>
      </c>
      <c r="G41" s="220" t="s">
        <v>144</v>
      </c>
      <c r="H41" s="13"/>
      <c r="I41" s="40" t="s">
        <v>76</v>
      </c>
      <c r="J41" s="60">
        <f>SUM(J37:J40)</f>
        <v>600000</v>
      </c>
      <c r="K41" s="40" t="s">
        <v>125</v>
      </c>
      <c r="L41" s="222">
        <f>'Rates Comp'!L41</f>
        <v>4.2399999999999998E-3</v>
      </c>
      <c r="M41" s="220" t="s">
        <v>144</v>
      </c>
      <c r="N41" s="13"/>
      <c r="O41" s="222">
        <f>L41-F41</f>
        <v>2.3000000000000017E-4</v>
      </c>
      <c r="P41" s="74"/>
    </row>
    <row r="42" spans="2:16" x14ac:dyDescent="0.5">
      <c r="B42" s="13"/>
      <c r="C42" s="40"/>
      <c r="D42" s="60"/>
      <c r="E42" s="40"/>
      <c r="F42" s="222"/>
      <c r="G42" s="220"/>
      <c r="H42" s="13"/>
      <c r="I42" s="40"/>
      <c r="J42" s="60"/>
      <c r="K42" s="40"/>
      <c r="L42" s="222"/>
      <c r="M42" s="220"/>
      <c r="N42" s="13"/>
      <c r="O42" s="222"/>
      <c r="P42" s="74"/>
    </row>
    <row r="43" spans="2:16" x14ac:dyDescent="0.5">
      <c r="B43" s="13"/>
      <c r="C43" s="436" t="s">
        <v>233</v>
      </c>
      <c r="D43" s="60"/>
      <c r="E43" s="40"/>
      <c r="F43" s="40"/>
      <c r="G43" s="220"/>
      <c r="H43" s="13"/>
      <c r="I43" s="436" t="s">
        <v>233</v>
      </c>
      <c r="J43" s="60"/>
      <c r="K43" s="40"/>
      <c r="L43" s="40"/>
      <c r="M43" s="220"/>
      <c r="N43" s="13"/>
      <c r="O43" s="40"/>
      <c r="P43" s="74"/>
    </row>
    <row r="44" spans="2:16" x14ac:dyDescent="0.5">
      <c r="B44" s="13"/>
      <c r="C44" s="40" t="s">
        <v>48</v>
      </c>
      <c r="D44" s="60">
        <v>30000</v>
      </c>
      <c r="E44" s="40" t="s">
        <v>125</v>
      </c>
      <c r="F44" s="221">
        <v>223.99</v>
      </c>
      <c r="G44" s="220" t="s">
        <v>145</v>
      </c>
      <c r="H44" s="13"/>
      <c r="I44" s="40" t="s">
        <v>48</v>
      </c>
      <c r="J44" s="60">
        <v>30000</v>
      </c>
      <c r="K44" s="40" t="s">
        <v>125</v>
      </c>
      <c r="L44" s="221">
        <f>'Rates Comp'!L44</f>
        <v>237</v>
      </c>
      <c r="M44" s="220" t="s">
        <v>145</v>
      </c>
      <c r="N44" s="13"/>
      <c r="O44" s="221">
        <f>L44-F44</f>
        <v>13.009999999999991</v>
      </c>
      <c r="P44" s="74"/>
    </row>
    <row r="45" spans="2:16" x14ac:dyDescent="0.5">
      <c r="B45" s="13"/>
      <c r="C45" s="40" t="s">
        <v>49</v>
      </c>
      <c r="D45" s="60">
        <v>170000</v>
      </c>
      <c r="E45" s="40" t="s">
        <v>125</v>
      </c>
      <c r="F45" s="222">
        <f>F39</f>
        <v>5.7800000000000004E-3</v>
      </c>
      <c r="G45" s="220" t="s">
        <v>144</v>
      </c>
      <c r="H45" s="13"/>
      <c r="I45" s="40" t="s">
        <v>49</v>
      </c>
      <c r="J45" s="60">
        <v>170000</v>
      </c>
      <c r="K45" s="40" t="s">
        <v>125</v>
      </c>
      <c r="L45" s="222">
        <f>'Rates Comp'!L45</f>
        <v>6.1200000000000004E-3</v>
      </c>
      <c r="M45" s="220" t="s">
        <v>144</v>
      </c>
      <c r="N45" s="13"/>
      <c r="O45" s="222">
        <f>L45-F45</f>
        <v>3.4000000000000002E-4</v>
      </c>
      <c r="P45" s="74"/>
    </row>
    <row r="46" spans="2:16" x14ac:dyDescent="0.5">
      <c r="B46" s="13"/>
      <c r="C46" s="40" t="s">
        <v>49</v>
      </c>
      <c r="D46" s="60">
        <v>400000</v>
      </c>
      <c r="E46" s="40" t="s">
        <v>125</v>
      </c>
      <c r="F46" s="222">
        <f t="shared" ref="F46:F47" si="4">F40</f>
        <v>5.4099999999999999E-3</v>
      </c>
      <c r="G46" s="220" t="s">
        <v>144</v>
      </c>
      <c r="H46" s="13"/>
      <c r="I46" s="40" t="s">
        <v>49</v>
      </c>
      <c r="J46" s="60">
        <v>400000</v>
      </c>
      <c r="K46" s="40" t="s">
        <v>125</v>
      </c>
      <c r="L46" s="222">
        <f>'Rates Comp'!L46</f>
        <v>5.7200000000000003E-3</v>
      </c>
      <c r="M46" s="220" t="s">
        <v>144</v>
      </c>
      <c r="N46" s="13"/>
      <c r="O46" s="222">
        <f>L46-F46</f>
        <v>3.1000000000000038E-4</v>
      </c>
      <c r="P46" s="74"/>
    </row>
    <row r="47" spans="2:16" x14ac:dyDescent="0.5">
      <c r="B47" s="13"/>
      <c r="C47" s="40" t="s">
        <v>76</v>
      </c>
      <c r="D47" s="60">
        <f>SUM(D43:D46)</f>
        <v>600000</v>
      </c>
      <c r="E47" s="40" t="s">
        <v>125</v>
      </c>
      <c r="F47" s="222">
        <f t="shared" si="4"/>
        <v>4.0099999999999997E-3</v>
      </c>
      <c r="G47" s="220" t="s">
        <v>144</v>
      </c>
      <c r="H47" s="13"/>
      <c r="I47" s="40" t="s">
        <v>76</v>
      </c>
      <c r="J47" s="60">
        <f>SUM(J43:J46)</f>
        <v>600000</v>
      </c>
      <c r="K47" s="40" t="s">
        <v>125</v>
      </c>
      <c r="L47" s="222">
        <f>'Rates Comp'!L47</f>
        <v>4.2399999999999998E-3</v>
      </c>
      <c r="M47" s="220" t="s">
        <v>144</v>
      </c>
      <c r="N47" s="13"/>
      <c r="O47" s="222">
        <f>L47-F47</f>
        <v>2.3000000000000017E-4</v>
      </c>
      <c r="P47" s="74"/>
    </row>
    <row r="48" spans="2:16" x14ac:dyDescent="0.5">
      <c r="B48" s="13"/>
      <c r="C48" s="40"/>
      <c r="D48" s="60"/>
      <c r="E48" s="40"/>
      <c r="F48" s="222"/>
      <c r="G48" s="220"/>
      <c r="H48" s="13"/>
      <c r="I48" s="40"/>
      <c r="J48" s="60"/>
      <c r="K48" s="40"/>
      <c r="L48" s="222"/>
      <c r="M48" s="220"/>
      <c r="N48" s="13"/>
      <c r="O48" s="222"/>
      <c r="P48" s="74"/>
    </row>
    <row r="49" spans="2:16" x14ac:dyDescent="0.5">
      <c r="B49" s="13"/>
      <c r="C49" s="436" t="s">
        <v>234</v>
      </c>
      <c r="D49" s="60"/>
      <c r="E49" s="40"/>
      <c r="F49" s="40"/>
      <c r="G49" s="220"/>
      <c r="H49" s="13"/>
      <c r="I49" s="436" t="s">
        <v>234</v>
      </c>
      <c r="J49" s="60"/>
      <c r="K49" s="40"/>
      <c r="L49" s="40"/>
      <c r="M49" s="220"/>
      <c r="N49" s="13"/>
      <c r="O49" s="40"/>
      <c r="P49" s="74"/>
    </row>
    <row r="50" spans="2:16" x14ac:dyDescent="0.5">
      <c r="B50" s="13"/>
      <c r="C50" s="40" t="s">
        <v>48</v>
      </c>
      <c r="D50" s="60">
        <v>50000</v>
      </c>
      <c r="E50" s="40" t="s">
        <v>125</v>
      </c>
      <c r="F50" s="221">
        <v>346.1</v>
      </c>
      <c r="G50" s="220" t="s">
        <v>145</v>
      </c>
      <c r="H50" s="13"/>
      <c r="I50" s="40" t="s">
        <v>48</v>
      </c>
      <c r="J50" s="60">
        <v>50000</v>
      </c>
      <c r="K50" s="40" t="s">
        <v>125</v>
      </c>
      <c r="L50" s="221">
        <f>'Rates Comp'!L50</f>
        <v>366.21000000000004</v>
      </c>
      <c r="M50" s="220" t="s">
        <v>145</v>
      </c>
      <c r="N50" s="13"/>
      <c r="O50" s="221">
        <f>L50-F50</f>
        <v>20.110000000000014</v>
      </c>
      <c r="P50" s="74"/>
    </row>
    <row r="51" spans="2:16" x14ac:dyDescent="0.5">
      <c r="B51" s="13"/>
      <c r="C51" s="40" t="s">
        <v>49</v>
      </c>
      <c r="D51" s="60">
        <v>150000</v>
      </c>
      <c r="E51" s="40" t="s">
        <v>125</v>
      </c>
      <c r="F51" s="222">
        <f>F45</f>
        <v>5.7800000000000004E-3</v>
      </c>
      <c r="G51" s="220" t="s">
        <v>144</v>
      </c>
      <c r="H51" s="13"/>
      <c r="I51" s="40" t="s">
        <v>49</v>
      </c>
      <c r="J51" s="60">
        <v>150000</v>
      </c>
      <c r="K51" s="40" t="s">
        <v>125</v>
      </c>
      <c r="L51" s="222">
        <f>'Rates Comp'!L51</f>
        <v>6.1200000000000004E-3</v>
      </c>
      <c r="M51" s="220" t="s">
        <v>144</v>
      </c>
      <c r="N51" s="13"/>
      <c r="O51" s="222">
        <f>L51-F51</f>
        <v>3.4000000000000002E-4</v>
      </c>
      <c r="P51" s="74"/>
    </row>
    <row r="52" spans="2:16" x14ac:dyDescent="0.5">
      <c r="B52" s="13"/>
      <c r="C52" s="40" t="s">
        <v>49</v>
      </c>
      <c r="D52" s="60">
        <v>400000</v>
      </c>
      <c r="E52" s="40" t="s">
        <v>125</v>
      </c>
      <c r="F52" s="222">
        <f t="shared" ref="F52:F53" si="5">F46</f>
        <v>5.4099999999999999E-3</v>
      </c>
      <c r="G52" s="220" t="s">
        <v>144</v>
      </c>
      <c r="H52" s="13"/>
      <c r="I52" s="40" t="s">
        <v>49</v>
      </c>
      <c r="J52" s="60">
        <v>400000</v>
      </c>
      <c r="K52" s="40" t="s">
        <v>125</v>
      </c>
      <c r="L52" s="222">
        <f>'Rates Comp'!L52</f>
        <v>5.7200000000000003E-3</v>
      </c>
      <c r="M52" s="220" t="s">
        <v>144</v>
      </c>
      <c r="N52" s="13"/>
      <c r="O52" s="222">
        <f>L52-F52</f>
        <v>3.1000000000000038E-4</v>
      </c>
      <c r="P52" s="74"/>
    </row>
    <row r="53" spans="2:16" x14ac:dyDescent="0.5">
      <c r="B53" s="13"/>
      <c r="C53" s="40" t="s">
        <v>76</v>
      </c>
      <c r="D53" s="60">
        <f>SUM(D49:D52)</f>
        <v>600000</v>
      </c>
      <c r="E53" s="40" t="s">
        <v>125</v>
      </c>
      <c r="F53" s="222">
        <f t="shared" si="5"/>
        <v>4.0099999999999997E-3</v>
      </c>
      <c r="G53" s="220" t="s">
        <v>144</v>
      </c>
      <c r="H53" s="13"/>
      <c r="I53" s="40" t="s">
        <v>76</v>
      </c>
      <c r="J53" s="60">
        <f>SUM(J49:J52)</f>
        <v>600000</v>
      </c>
      <c r="K53" s="40" t="s">
        <v>125</v>
      </c>
      <c r="L53" s="222">
        <f>'Rates Comp'!L53</f>
        <v>4.2399999999999998E-3</v>
      </c>
      <c r="M53" s="220" t="s">
        <v>144</v>
      </c>
      <c r="N53" s="13"/>
      <c r="O53" s="222">
        <f>L53-F53</f>
        <v>2.3000000000000017E-4</v>
      </c>
      <c r="P53" s="74"/>
    </row>
    <row r="54" spans="2:16" x14ac:dyDescent="0.5">
      <c r="B54" s="13"/>
      <c r="C54" s="40"/>
      <c r="D54" s="60"/>
      <c r="E54" s="40"/>
      <c r="F54" s="222"/>
      <c r="G54" s="220"/>
      <c r="H54" s="13"/>
      <c r="I54" s="40"/>
      <c r="J54" s="60"/>
      <c r="K54" s="40"/>
      <c r="L54" s="222"/>
      <c r="M54" s="220"/>
      <c r="N54" s="13"/>
      <c r="O54" s="222"/>
      <c r="P54" s="74"/>
    </row>
    <row r="55" spans="2:16" x14ac:dyDescent="0.5">
      <c r="B55" s="13"/>
      <c r="C55" s="436" t="s">
        <v>235</v>
      </c>
      <c r="D55" s="60"/>
      <c r="E55" s="40"/>
      <c r="F55" s="40"/>
      <c r="G55" s="220"/>
      <c r="H55" s="13"/>
      <c r="I55" s="436" t="s">
        <v>235</v>
      </c>
      <c r="J55" s="60"/>
      <c r="K55" s="40"/>
      <c r="L55" s="40"/>
      <c r="M55" s="220"/>
      <c r="N55" s="13"/>
      <c r="O55" s="40"/>
      <c r="P55" s="74"/>
    </row>
    <row r="56" spans="2:16" x14ac:dyDescent="0.5">
      <c r="B56" s="13"/>
      <c r="C56" s="40" t="s">
        <v>48</v>
      </c>
      <c r="D56" s="60">
        <v>100000</v>
      </c>
      <c r="E56" s="40" t="s">
        <v>125</v>
      </c>
      <c r="F56" s="221">
        <v>650.30999999999995</v>
      </c>
      <c r="G56" s="220" t="s">
        <v>145</v>
      </c>
      <c r="H56" s="13"/>
      <c r="I56" s="40" t="s">
        <v>48</v>
      </c>
      <c r="J56" s="60">
        <v>100000</v>
      </c>
      <c r="K56" s="40" t="s">
        <v>125</v>
      </c>
      <c r="L56" s="221">
        <f>'Rates Comp'!L56</f>
        <v>688.08999999999992</v>
      </c>
      <c r="M56" s="220" t="s">
        <v>145</v>
      </c>
      <c r="N56" s="13"/>
      <c r="O56" s="221">
        <f>L56-F56</f>
        <v>37.779999999999973</v>
      </c>
      <c r="P56" s="74"/>
    </row>
    <row r="57" spans="2:16" x14ac:dyDescent="0.5">
      <c r="B57" s="13"/>
      <c r="C57" s="40" t="s">
        <v>49</v>
      </c>
      <c r="D57" s="60">
        <v>100000</v>
      </c>
      <c r="E57" s="40" t="s">
        <v>125</v>
      </c>
      <c r="F57" s="222">
        <f>F51</f>
        <v>5.7800000000000004E-3</v>
      </c>
      <c r="G57" s="220" t="s">
        <v>144</v>
      </c>
      <c r="H57" s="13"/>
      <c r="I57" s="40" t="s">
        <v>49</v>
      </c>
      <c r="J57" s="60">
        <v>100000</v>
      </c>
      <c r="K57" s="40" t="s">
        <v>125</v>
      </c>
      <c r="L57" s="222">
        <f>'Rates Comp'!L57</f>
        <v>6.1200000000000004E-3</v>
      </c>
      <c r="M57" s="220" t="s">
        <v>144</v>
      </c>
      <c r="N57" s="13"/>
      <c r="O57" s="222">
        <f>L57-F57</f>
        <v>3.4000000000000002E-4</v>
      </c>
      <c r="P57" s="74"/>
    </row>
    <row r="58" spans="2:16" x14ac:dyDescent="0.5">
      <c r="B58" s="13"/>
      <c r="C58" s="40" t="s">
        <v>49</v>
      </c>
      <c r="D58" s="60">
        <v>400000</v>
      </c>
      <c r="E58" s="40" t="s">
        <v>125</v>
      </c>
      <c r="F58" s="222">
        <f t="shared" ref="F58:F59" si="6">F52</f>
        <v>5.4099999999999999E-3</v>
      </c>
      <c r="G58" s="220" t="s">
        <v>144</v>
      </c>
      <c r="H58" s="13"/>
      <c r="I58" s="40" t="s">
        <v>49</v>
      </c>
      <c r="J58" s="60">
        <v>400000</v>
      </c>
      <c r="K58" s="40" t="s">
        <v>125</v>
      </c>
      <c r="L58" s="222">
        <f>'Rates Comp'!L58</f>
        <v>5.7200000000000003E-3</v>
      </c>
      <c r="M58" s="220" t="s">
        <v>144</v>
      </c>
      <c r="N58" s="13"/>
      <c r="O58" s="222">
        <f>L58-F58</f>
        <v>3.1000000000000038E-4</v>
      </c>
      <c r="P58" s="74"/>
    </row>
    <row r="59" spans="2:16" x14ac:dyDescent="0.5">
      <c r="B59" s="13"/>
      <c r="C59" s="40" t="s">
        <v>76</v>
      </c>
      <c r="D59" s="60">
        <f>SUM(D55:D58)</f>
        <v>600000</v>
      </c>
      <c r="E59" s="40" t="s">
        <v>125</v>
      </c>
      <c r="F59" s="222">
        <f t="shared" si="6"/>
        <v>4.0099999999999997E-3</v>
      </c>
      <c r="G59" s="220" t="s">
        <v>144</v>
      </c>
      <c r="H59" s="13"/>
      <c r="I59" s="40" t="s">
        <v>76</v>
      </c>
      <c r="J59" s="60">
        <f>SUM(J55:J58)</f>
        <v>600000</v>
      </c>
      <c r="K59" s="40" t="s">
        <v>125</v>
      </c>
      <c r="L59" s="222">
        <f>'Rates Comp'!L59</f>
        <v>4.2399999999999998E-3</v>
      </c>
      <c r="M59" s="220" t="s">
        <v>144</v>
      </c>
      <c r="N59" s="13"/>
      <c r="O59" s="222">
        <f>L59-F59</f>
        <v>2.3000000000000017E-4</v>
      </c>
      <c r="P59" s="74"/>
    </row>
    <row r="60" spans="2:16" x14ac:dyDescent="0.5">
      <c r="B60" s="13"/>
      <c r="C60" s="40"/>
      <c r="D60" s="60"/>
      <c r="E60" s="40"/>
      <c r="F60" s="222"/>
      <c r="G60" s="220"/>
      <c r="H60" s="13"/>
      <c r="I60" s="40"/>
      <c r="J60" s="60"/>
      <c r="K60" s="40"/>
      <c r="L60" s="222"/>
      <c r="M60" s="220"/>
      <c r="N60" s="13"/>
      <c r="O60" s="222"/>
      <c r="P60" s="74"/>
    </row>
    <row r="61" spans="2:16" x14ac:dyDescent="0.5">
      <c r="B61" s="13"/>
      <c r="C61" s="436" t="s">
        <v>236</v>
      </c>
      <c r="D61" s="60"/>
      <c r="E61" s="40"/>
      <c r="F61" s="40"/>
      <c r="G61" s="220"/>
      <c r="H61" s="13"/>
      <c r="I61" s="436" t="s">
        <v>236</v>
      </c>
      <c r="J61" s="60"/>
      <c r="K61" s="40"/>
      <c r="L61" s="40"/>
      <c r="M61" s="220"/>
      <c r="N61" s="13"/>
      <c r="O61" s="40"/>
      <c r="P61" s="74"/>
    </row>
    <row r="62" spans="2:16" x14ac:dyDescent="0.5">
      <c r="B62" s="13"/>
      <c r="C62" s="40" t="s">
        <v>48</v>
      </c>
      <c r="D62" s="60">
        <v>160000</v>
      </c>
      <c r="E62" s="40" t="s">
        <v>125</v>
      </c>
      <c r="F62" s="221">
        <v>1018.89</v>
      </c>
      <c r="G62" s="220" t="s">
        <v>145</v>
      </c>
      <c r="H62" s="13"/>
      <c r="I62" s="40" t="s">
        <v>48</v>
      </c>
      <c r="J62" s="60">
        <v>160000</v>
      </c>
      <c r="K62" s="40" t="s">
        <v>125</v>
      </c>
      <c r="L62" s="221">
        <f>'Rates Comp'!L62</f>
        <v>1078.0899999999999</v>
      </c>
      <c r="M62" s="220" t="s">
        <v>145</v>
      </c>
      <c r="N62" s="13"/>
      <c r="O62" s="221">
        <f>L62-F62</f>
        <v>59.199999999999932</v>
      </c>
      <c r="P62" s="74"/>
    </row>
    <row r="63" spans="2:16" x14ac:dyDescent="0.5">
      <c r="B63" s="13"/>
      <c r="C63" s="40" t="s">
        <v>49</v>
      </c>
      <c r="D63" s="60">
        <v>40000</v>
      </c>
      <c r="E63" s="40" t="s">
        <v>125</v>
      </c>
      <c r="F63" s="222">
        <f>F57</f>
        <v>5.7800000000000004E-3</v>
      </c>
      <c r="G63" s="220" t="s">
        <v>144</v>
      </c>
      <c r="H63" s="13"/>
      <c r="I63" s="40" t="s">
        <v>49</v>
      </c>
      <c r="J63" s="60">
        <v>40000</v>
      </c>
      <c r="K63" s="40" t="s">
        <v>125</v>
      </c>
      <c r="L63" s="222">
        <f>'Rates Comp'!L63</f>
        <v>6.1200000000000004E-3</v>
      </c>
      <c r="M63" s="220" t="s">
        <v>144</v>
      </c>
      <c r="N63" s="13"/>
      <c r="O63" s="222">
        <f>L63-F63</f>
        <v>3.4000000000000002E-4</v>
      </c>
      <c r="P63" s="74"/>
    </row>
    <row r="64" spans="2:16" x14ac:dyDescent="0.5">
      <c r="B64" s="13"/>
      <c r="C64" s="40" t="s">
        <v>49</v>
      </c>
      <c r="D64" s="60">
        <v>400000</v>
      </c>
      <c r="E64" s="40" t="s">
        <v>125</v>
      </c>
      <c r="F64" s="222">
        <f t="shared" ref="F64:F65" si="7">F58</f>
        <v>5.4099999999999999E-3</v>
      </c>
      <c r="G64" s="220" t="s">
        <v>144</v>
      </c>
      <c r="H64" s="13"/>
      <c r="I64" s="40" t="s">
        <v>49</v>
      </c>
      <c r="J64" s="60">
        <v>400000</v>
      </c>
      <c r="K64" s="40" t="s">
        <v>125</v>
      </c>
      <c r="L64" s="222">
        <f>'Rates Comp'!L64</f>
        <v>5.7200000000000003E-3</v>
      </c>
      <c r="M64" s="220" t="s">
        <v>144</v>
      </c>
      <c r="N64" s="13"/>
      <c r="O64" s="222">
        <f>L64-F64</f>
        <v>3.1000000000000038E-4</v>
      </c>
      <c r="P64" s="74"/>
    </row>
    <row r="65" spans="2:16" x14ac:dyDescent="0.5">
      <c r="B65" s="13"/>
      <c r="C65" s="40" t="s">
        <v>76</v>
      </c>
      <c r="D65" s="60">
        <f>SUM(D61:D64)</f>
        <v>600000</v>
      </c>
      <c r="E65" s="40" t="s">
        <v>125</v>
      </c>
      <c r="F65" s="222">
        <f t="shared" si="7"/>
        <v>4.0099999999999997E-3</v>
      </c>
      <c r="G65" s="220" t="s">
        <v>144</v>
      </c>
      <c r="H65" s="13"/>
      <c r="I65" s="40" t="s">
        <v>76</v>
      </c>
      <c r="J65" s="60">
        <f>SUM(J61:J64)</f>
        <v>600000</v>
      </c>
      <c r="K65" s="40" t="s">
        <v>125</v>
      </c>
      <c r="L65" s="222">
        <f>'Rates Comp'!L65</f>
        <v>4.2399999999999998E-3</v>
      </c>
      <c r="M65" s="220" t="s">
        <v>144</v>
      </c>
      <c r="N65" s="13"/>
      <c r="O65" s="222">
        <f>L65-F65</f>
        <v>2.3000000000000017E-4</v>
      </c>
      <c r="P65" s="74"/>
    </row>
    <row r="66" spans="2:16" x14ac:dyDescent="0.5">
      <c r="B66" s="13"/>
      <c r="C66" s="40"/>
      <c r="D66" s="60"/>
      <c r="E66" s="40"/>
      <c r="F66" s="222"/>
      <c r="G66" s="220"/>
      <c r="H66" s="13"/>
      <c r="I66" s="40"/>
      <c r="J66" s="60"/>
      <c r="K66" s="40"/>
      <c r="L66" s="222"/>
      <c r="M66" s="220"/>
      <c r="N66" s="13"/>
      <c r="O66" s="222"/>
      <c r="P66" s="74"/>
    </row>
    <row r="67" spans="2:16" x14ac:dyDescent="0.5">
      <c r="B67" s="13"/>
      <c r="C67" s="436" t="s">
        <v>347</v>
      </c>
      <c r="D67" s="60"/>
      <c r="E67" s="40"/>
      <c r="F67" s="40"/>
      <c r="G67" s="220"/>
      <c r="H67" s="13"/>
      <c r="I67" s="436" t="s">
        <v>347</v>
      </c>
      <c r="J67" s="60"/>
      <c r="K67" s="40"/>
      <c r="L67" s="40"/>
      <c r="M67" s="220"/>
      <c r="N67" s="13"/>
      <c r="O67" s="40"/>
      <c r="P67" s="74"/>
    </row>
    <row r="68" spans="2:16" x14ac:dyDescent="0.5">
      <c r="B68" s="13"/>
      <c r="C68" s="40" t="s">
        <v>48</v>
      </c>
      <c r="D68" s="60">
        <v>550000</v>
      </c>
      <c r="E68" s="40" t="s">
        <v>125</v>
      </c>
      <c r="F68" s="221">
        <v>3158.3</v>
      </c>
      <c r="G68" s="220" t="s">
        <v>145</v>
      </c>
      <c r="H68" s="13"/>
      <c r="I68" s="40" t="s">
        <v>48</v>
      </c>
      <c r="J68" s="60">
        <v>550000</v>
      </c>
      <c r="K68" s="40" t="s">
        <v>125</v>
      </c>
      <c r="L68" s="221">
        <f>'Rates Comp'!L68</f>
        <v>3341.8</v>
      </c>
      <c r="M68" s="220" t="s">
        <v>145</v>
      </c>
      <c r="N68" s="13"/>
      <c r="O68" s="221">
        <f>L68-F68</f>
        <v>183.5</v>
      </c>
      <c r="P68" s="74"/>
    </row>
    <row r="69" spans="2:16" x14ac:dyDescent="0.5">
      <c r="B69" s="13"/>
      <c r="C69" s="40" t="s">
        <v>49</v>
      </c>
      <c r="D69" s="60">
        <v>50000</v>
      </c>
      <c r="E69" s="40" t="s">
        <v>125</v>
      </c>
      <c r="F69" s="222">
        <f>F64</f>
        <v>5.4099999999999999E-3</v>
      </c>
      <c r="G69" s="220" t="s">
        <v>144</v>
      </c>
      <c r="H69" s="13"/>
      <c r="I69" s="40" t="s">
        <v>49</v>
      </c>
      <c r="J69" s="60">
        <v>50000</v>
      </c>
      <c r="K69" s="40" t="s">
        <v>125</v>
      </c>
      <c r="L69" s="222">
        <f>'Rates Comp'!L69</f>
        <v>5.7200000000000003E-3</v>
      </c>
      <c r="M69" s="220" t="s">
        <v>144</v>
      </c>
      <c r="N69" s="13"/>
      <c r="O69" s="222">
        <f>L69-F69</f>
        <v>3.1000000000000038E-4</v>
      </c>
      <c r="P69" s="74"/>
    </row>
    <row r="70" spans="2:16" x14ac:dyDescent="0.5">
      <c r="B70" s="13"/>
      <c r="C70" s="40" t="s">
        <v>76</v>
      </c>
      <c r="D70" s="60">
        <f>SUM(D67:D69)</f>
        <v>600000</v>
      </c>
      <c r="E70" s="40" t="s">
        <v>125</v>
      </c>
      <c r="F70" s="222">
        <f>F65</f>
        <v>4.0099999999999997E-3</v>
      </c>
      <c r="G70" s="220" t="s">
        <v>144</v>
      </c>
      <c r="H70" s="13"/>
      <c r="I70" s="40" t="s">
        <v>76</v>
      </c>
      <c r="J70" s="60">
        <f>SUM(J67:J69)</f>
        <v>600000</v>
      </c>
      <c r="K70" s="40" t="s">
        <v>125</v>
      </c>
      <c r="L70" s="222">
        <f>'Rates Comp'!L70</f>
        <v>4.2399999999999998E-3</v>
      </c>
      <c r="M70" s="220" t="s">
        <v>144</v>
      </c>
      <c r="N70" s="13"/>
      <c r="O70" s="222">
        <f>L70-F70</f>
        <v>2.3000000000000017E-4</v>
      </c>
      <c r="P70" s="74"/>
    </row>
    <row r="71" spans="2:16" x14ac:dyDescent="0.5">
      <c r="B71" s="13"/>
      <c r="C71" s="40"/>
      <c r="D71" s="60"/>
      <c r="E71" s="40"/>
      <c r="F71" s="222"/>
      <c r="G71" s="220"/>
      <c r="H71" s="13"/>
      <c r="I71" s="40"/>
      <c r="J71" s="60"/>
      <c r="K71" s="40"/>
      <c r="L71" s="222"/>
      <c r="M71" s="220"/>
      <c r="N71" s="13"/>
      <c r="O71" s="222"/>
      <c r="P71" s="74"/>
    </row>
    <row r="72" spans="2:16" x14ac:dyDescent="0.5">
      <c r="B72" s="13"/>
      <c r="C72" s="436" t="s">
        <v>348</v>
      </c>
      <c r="D72" s="60"/>
      <c r="E72" s="40"/>
      <c r="F72" s="222"/>
      <c r="G72" s="220"/>
      <c r="H72" s="13"/>
      <c r="I72" s="436" t="s">
        <v>348</v>
      </c>
      <c r="J72" s="60"/>
      <c r="K72" s="40"/>
      <c r="L72" s="222"/>
      <c r="M72" s="220"/>
      <c r="N72" s="13"/>
      <c r="O72" s="222"/>
      <c r="P72" s="74"/>
    </row>
    <row r="73" spans="2:16" x14ac:dyDescent="0.5">
      <c r="B73" s="13"/>
      <c r="C73" s="438" t="s">
        <v>468</v>
      </c>
      <c r="D73" s="60"/>
      <c r="E73" s="40"/>
      <c r="F73" s="223">
        <f>'Rates Comp'!F73</f>
        <v>10.37</v>
      </c>
      <c r="G73" s="220"/>
      <c r="H73" s="13"/>
      <c r="I73" s="438" t="s">
        <v>468</v>
      </c>
      <c r="J73" s="60"/>
      <c r="K73" s="40"/>
      <c r="L73" s="223">
        <f>'Rates Comp'!L73</f>
        <v>10.969999999999999</v>
      </c>
      <c r="M73" s="220"/>
      <c r="N73" s="13"/>
      <c r="O73" s="223">
        <f>L73-F73</f>
        <v>0.59999999999999964</v>
      </c>
      <c r="P73" s="74"/>
    </row>
    <row r="74" spans="2:16" x14ac:dyDescent="0.5">
      <c r="B74" s="13"/>
      <c r="C74" s="438" t="s">
        <v>469</v>
      </c>
      <c r="D74" s="60"/>
      <c r="E74" s="40"/>
      <c r="F74" s="223">
        <f>'Rates Comp'!F74</f>
        <v>17.46</v>
      </c>
      <c r="G74" s="220"/>
      <c r="H74" s="13"/>
      <c r="I74" s="438" t="s">
        <v>469</v>
      </c>
      <c r="J74" s="60"/>
      <c r="K74" s="40"/>
      <c r="L74" s="223">
        <f>'Rates Comp'!L74</f>
        <v>18.470000000000002</v>
      </c>
      <c r="M74" s="220"/>
      <c r="N74" s="13"/>
      <c r="O74" s="223">
        <f t="shared" ref="O74:O80" si="8">L74-F74</f>
        <v>1.0100000000000016</v>
      </c>
      <c r="P74" s="74"/>
    </row>
    <row r="75" spans="2:16" x14ac:dyDescent="0.5">
      <c r="B75" s="13"/>
      <c r="C75" s="438" t="s">
        <v>470</v>
      </c>
      <c r="F75" s="223">
        <f>'Rates Comp'!F75</f>
        <v>27.03</v>
      </c>
      <c r="G75" s="74"/>
      <c r="H75" s="13"/>
      <c r="I75" s="438" t="s">
        <v>470</v>
      </c>
      <c r="L75" s="223">
        <f>'Rates Comp'!L75</f>
        <v>28.6</v>
      </c>
      <c r="M75" s="74"/>
      <c r="N75" s="13"/>
      <c r="O75" s="223">
        <f t="shared" si="8"/>
        <v>1.5700000000000003</v>
      </c>
      <c r="P75" s="74"/>
    </row>
    <row r="76" spans="2:16" x14ac:dyDescent="0.5">
      <c r="B76" s="13"/>
      <c r="C76" s="438" t="s">
        <v>471</v>
      </c>
      <c r="F76" s="223">
        <f>'Rates Comp'!F76</f>
        <v>67.86</v>
      </c>
      <c r="G76" s="74"/>
      <c r="H76" s="13"/>
      <c r="I76" s="438" t="s">
        <v>471</v>
      </c>
      <c r="L76" s="223">
        <f>'Rates Comp'!L76</f>
        <v>71.8</v>
      </c>
      <c r="M76" s="74"/>
      <c r="N76" s="13"/>
      <c r="O76" s="223">
        <f t="shared" si="8"/>
        <v>3.9399999999999977</v>
      </c>
      <c r="P76" s="74"/>
    </row>
    <row r="77" spans="2:16" x14ac:dyDescent="0.5">
      <c r="B77" s="13"/>
      <c r="C77" s="438" t="s">
        <v>244</v>
      </c>
      <c r="F77" s="223">
        <f>'Rates Comp'!F77</f>
        <v>142.96</v>
      </c>
      <c r="G77" s="74"/>
      <c r="H77" s="13"/>
      <c r="I77" s="438" t="s">
        <v>244</v>
      </c>
      <c r="L77" s="223">
        <f>'Rates Comp'!L77</f>
        <v>151.27000000000001</v>
      </c>
      <c r="M77" s="74"/>
      <c r="N77" s="13"/>
      <c r="O77" s="223">
        <f t="shared" si="8"/>
        <v>8.3100000000000023</v>
      </c>
      <c r="P77" s="74"/>
    </row>
    <row r="78" spans="2:16" x14ac:dyDescent="0.5">
      <c r="B78" s="13"/>
      <c r="C78" s="438" t="s">
        <v>245</v>
      </c>
      <c r="F78" s="223">
        <f>'Rates Comp'!F78</f>
        <v>355.58</v>
      </c>
      <c r="G78" s="74"/>
      <c r="H78" s="13"/>
      <c r="I78" s="438" t="s">
        <v>245</v>
      </c>
      <c r="L78" s="223">
        <f>'Rates Comp'!L78</f>
        <v>376.24</v>
      </c>
      <c r="M78" s="74"/>
      <c r="N78" s="13"/>
      <c r="O78" s="223">
        <f t="shared" si="8"/>
        <v>20.660000000000025</v>
      </c>
      <c r="P78" s="74"/>
    </row>
    <row r="79" spans="2:16" x14ac:dyDescent="0.5">
      <c r="B79" s="13"/>
      <c r="C79" s="438" t="s">
        <v>467</v>
      </c>
      <c r="F79" s="223">
        <f>'Rates Comp'!F79</f>
        <v>713.09</v>
      </c>
      <c r="G79" s="74"/>
      <c r="H79" s="13"/>
      <c r="I79" s="438" t="s">
        <v>467</v>
      </c>
      <c r="L79" s="223">
        <f>'Rates Comp'!L79</f>
        <v>754.52</v>
      </c>
      <c r="M79" s="74"/>
      <c r="N79" s="13"/>
      <c r="O79" s="223">
        <f t="shared" si="8"/>
        <v>41.42999999999995</v>
      </c>
      <c r="P79" s="74"/>
    </row>
    <row r="80" spans="2:16" x14ac:dyDescent="0.5">
      <c r="B80" s="13"/>
      <c r="C80" s="438" t="s">
        <v>472</v>
      </c>
      <c r="F80" s="223">
        <f>'Rates Comp'!F80</f>
        <v>1253.3599999999999</v>
      </c>
      <c r="G80" s="74"/>
      <c r="H80" s="13"/>
      <c r="I80" s="438" t="s">
        <v>472</v>
      </c>
      <c r="L80" s="223">
        <f>'Rates Comp'!L80</f>
        <v>1326.1799999999998</v>
      </c>
      <c r="M80" s="74"/>
      <c r="N80" s="13"/>
      <c r="O80" s="223">
        <f t="shared" si="8"/>
        <v>72.819999999999936</v>
      </c>
      <c r="P80" s="74"/>
    </row>
    <row r="81" spans="2:16" x14ac:dyDescent="0.5">
      <c r="B81" s="15"/>
      <c r="C81" s="75"/>
      <c r="D81" s="75"/>
      <c r="E81" s="75"/>
      <c r="F81" s="76"/>
      <c r="G81" s="77"/>
      <c r="H81" s="15"/>
      <c r="I81" s="75"/>
      <c r="J81" s="75"/>
      <c r="K81" s="75"/>
      <c r="L81" s="76"/>
      <c r="M81" s="77"/>
      <c r="N81" s="15"/>
      <c r="O81" s="75"/>
      <c r="P81" s="77"/>
    </row>
  </sheetData>
  <mergeCells count="5">
    <mergeCell ref="C8:G8"/>
    <mergeCell ref="I8:M8"/>
    <mergeCell ref="C3:O3"/>
    <mergeCell ref="C4:O4"/>
    <mergeCell ref="C5:O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A6F3B-7C21-43F1-A4F9-BBC4EBA1D34C}">
  <dimension ref="A4:K95"/>
  <sheetViews>
    <sheetView showGridLines="0" zoomScale="148" zoomScaleNormal="148" workbookViewId="0">
      <selection activeCell="B7" sqref="B7:J7"/>
    </sheetView>
  </sheetViews>
  <sheetFormatPr defaultRowHeight="15" x14ac:dyDescent="0.4"/>
  <cols>
    <col min="1" max="1" width="2.77734375" customWidth="1"/>
    <col min="3" max="3" width="2.77734375" customWidth="1"/>
    <col min="4" max="4" width="12.77734375" customWidth="1"/>
    <col min="5" max="5" width="2.77734375" customWidth="1"/>
    <col min="6" max="6" width="12.77734375" customWidth="1"/>
    <col min="7" max="7" width="2.77734375" customWidth="1"/>
    <col min="8" max="8" width="12.77734375" customWidth="1"/>
    <col min="9" max="9" width="2.77734375" customWidth="1"/>
    <col min="10" max="10" width="12.77734375" customWidth="1"/>
    <col min="11" max="11" width="2.77734375" customWidth="1"/>
  </cols>
  <sheetData>
    <row r="4" spans="1:11" ht="22.15" x14ac:dyDescent="0.55000000000000004">
      <c r="A4" s="95"/>
      <c r="B4" s="104"/>
      <c r="C4" s="521"/>
      <c r="D4" s="521"/>
      <c r="E4" s="521"/>
      <c r="F4" s="521"/>
      <c r="G4" s="521"/>
      <c r="H4" s="521"/>
      <c r="I4" s="521"/>
      <c r="J4" s="521"/>
      <c r="K4" s="96"/>
    </row>
    <row r="5" spans="1:11" ht="22.15" x14ac:dyDescent="0.55000000000000004">
      <c r="A5" s="28"/>
      <c r="B5" s="519" t="s">
        <v>140</v>
      </c>
      <c r="C5" s="519"/>
      <c r="D5" s="519"/>
      <c r="E5" s="519"/>
      <c r="F5" s="519"/>
      <c r="G5" s="519"/>
      <c r="H5" s="519"/>
      <c r="I5" s="519"/>
      <c r="J5" s="519"/>
      <c r="K5" s="91"/>
    </row>
    <row r="6" spans="1:11" ht="22.15" x14ac:dyDescent="0.55000000000000004">
      <c r="A6" s="28"/>
      <c r="B6" s="520" t="s">
        <v>141</v>
      </c>
      <c r="C6" s="520"/>
      <c r="D6" s="520"/>
      <c r="E6" s="520"/>
      <c r="F6" s="520"/>
      <c r="G6" s="520"/>
      <c r="H6" s="520"/>
      <c r="I6" s="520"/>
      <c r="J6" s="520"/>
      <c r="K6" s="91"/>
    </row>
    <row r="7" spans="1:11" ht="22.15" x14ac:dyDescent="0.55000000000000004">
      <c r="A7" s="28"/>
      <c r="B7" s="519" t="s">
        <v>478</v>
      </c>
      <c r="C7" s="519"/>
      <c r="D7" s="519"/>
      <c r="E7" s="519"/>
      <c r="F7" s="519"/>
      <c r="G7" s="519"/>
      <c r="H7" s="519"/>
      <c r="I7" s="519"/>
      <c r="J7" s="519"/>
      <c r="K7" s="91"/>
    </row>
    <row r="8" spans="1:11" ht="22.15" x14ac:dyDescent="0.55000000000000004">
      <c r="A8" s="28"/>
      <c r="B8" s="235"/>
      <c r="C8" s="235"/>
      <c r="D8" s="235"/>
      <c r="E8" s="235"/>
      <c r="F8" s="235"/>
      <c r="G8" s="235"/>
      <c r="H8" s="235"/>
      <c r="I8" s="235"/>
      <c r="J8" s="235"/>
      <c r="K8" s="91"/>
    </row>
    <row r="9" spans="1:11" x14ac:dyDescent="0.4">
      <c r="A9" s="28"/>
      <c r="D9" s="108" t="s">
        <v>135</v>
      </c>
      <c r="F9" s="108" t="s">
        <v>137</v>
      </c>
      <c r="H9" s="107"/>
      <c r="J9" s="343"/>
      <c r="K9" s="91"/>
    </row>
    <row r="10" spans="1:11" x14ac:dyDescent="0.4">
      <c r="A10" s="28"/>
      <c r="D10" s="94" t="s">
        <v>136</v>
      </c>
      <c r="F10" s="94" t="s">
        <v>136</v>
      </c>
      <c r="H10" s="92" t="s">
        <v>138</v>
      </c>
      <c r="J10" s="344" t="s">
        <v>139</v>
      </c>
      <c r="K10" s="91"/>
    </row>
    <row r="11" spans="1:11" x14ac:dyDescent="0.4">
      <c r="A11" s="28"/>
      <c r="B11" s="341" t="s">
        <v>229</v>
      </c>
      <c r="K11" s="91"/>
    </row>
    <row r="12" spans="1:11" x14ac:dyDescent="0.4">
      <c r="A12" s="28"/>
      <c r="B12" s="69">
        <v>2000</v>
      </c>
      <c r="D12" s="93">
        <f>'5-8-Inch'!R21</f>
        <v>17.84</v>
      </c>
      <c r="F12" s="93">
        <f>'5-8-Inch'!Z21</f>
        <v>18.88</v>
      </c>
      <c r="H12" s="93">
        <f>F12-D12</f>
        <v>1.0399999999999991</v>
      </c>
      <c r="J12" s="441">
        <f>ROUND(H12/D12,4)</f>
        <v>5.8299999999999998E-2</v>
      </c>
      <c r="K12" s="91"/>
    </row>
    <row r="13" spans="1:11" x14ac:dyDescent="0.4">
      <c r="A13" s="28"/>
      <c r="B13" s="69">
        <v>4000</v>
      </c>
      <c r="D13" s="93">
        <f>'5-8-Inch'!R22</f>
        <v>30.740000000000002</v>
      </c>
      <c r="F13" s="93">
        <f>'5-8-Inch'!Z22</f>
        <v>32.519999999999996</v>
      </c>
      <c r="H13" s="93">
        <f t="shared" ref="H13:H21" si="0">F13-D13</f>
        <v>1.779999999999994</v>
      </c>
      <c r="J13" s="441">
        <f t="shared" ref="J13:J20" si="1">ROUND(H13/D13,4)</f>
        <v>5.79E-2</v>
      </c>
      <c r="K13" s="91"/>
    </row>
    <row r="14" spans="1:11" x14ac:dyDescent="0.4">
      <c r="A14" s="28"/>
      <c r="B14" s="69">
        <v>6000</v>
      </c>
      <c r="D14" s="93">
        <f>'5-8-Inch'!R23</f>
        <v>43.64</v>
      </c>
      <c r="F14" s="93">
        <f>'5-8-Inch'!Z23</f>
        <v>46.16</v>
      </c>
      <c r="H14" s="93">
        <f t="shared" si="0"/>
        <v>2.519999999999996</v>
      </c>
      <c r="J14" s="441">
        <f t="shared" si="1"/>
        <v>5.7700000000000001E-2</v>
      </c>
      <c r="K14" s="91"/>
    </row>
    <row r="15" spans="1:11" x14ac:dyDescent="0.4">
      <c r="A15" s="28"/>
      <c r="B15" s="69">
        <v>8000</v>
      </c>
      <c r="D15" s="93">
        <f>'5-8-Inch'!R24</f>
        <v>56.540000000000006</v>
      </c>
      <c r="F15" s="93">
        <f>'5-8-Inch'!Z24</f>
        <v>59.8</v>
      </c>
      <c r="H15" s="93">
        <f t="shared" si="0"/>
        <v>3.2599999999999909</v>
      </c>
      <c r="J15" s="441">
        <f t="shared" si="1"/>
        <v>5.7700000000000001E-2</v>
      </c>
      <c r="K15" s="91"/>
    </row>
    <row r="16" spans="1:11" x14ac:dyDescent="0.4">
      <c r="A16" s="28"/>
      <c r="B16" s="69">
        <v>10000</v>
      </c>
      <c r="D16" s="93">
        <f>'5-8-Inch'!R25</f>
        <v>69.44</v>
      </c>
      <c r="F16" s="93">
        <f>'5-8-Inch'!Z25</f>
        <v>73.44</v>
      </c>
      <c r="H16" s="93">
        <f t="shared" si="0"/>
        <v>4</v>
      </c>
      <c r="J16" s="441">
        <f t="shared" si="1"/>
        <v>5.7599999999999998E-2</v>
      </c>
      <c r="K16" s="91"/>
    </row>
    <row r="17" spans="1:11" x14ac:dyDescent="0.4">
      <c r="A17" s="28"/>
      <c r="B17" s="69">
        <v>12000</v>
      </c>
      <c r="D17" s="93">
        <f>'5-8-Inch'!R26</f>
        <v>81</v>
      </c>
      <c r="F17" s="93">
        <f>'5-8-Inch'!Z26</f>
        <v>85.679999999999993</v>
      </c>
      <c r="H17" s="93">
        <f t="shared" si="0"/>
        <v>4.6799999999999926</v>
      </c>
      <c r="J17" s="441">
        <f t="shared" si="1"/>
        <v>5.7799999999999997E-2</v>
      </c>
      <c r="K17" s="91"/>
    </row>
    <row r="18" spans="1:11" x14ac:dyDescent="0.4">
      <c r="A18" s="28"/>
      <c r="B18" s="69">
        <v>14000</v>
      </c>
      <c r="D18" s="93">
        <f>'5-8-Inch'!R27</f>
        <v>92.56</v>
      </c>
      <c r="F18" s="93">
        <f>'5-8-Inch'!Z27</f>
        <v>97.92</v>
      </c>
      <c r="H18" s="93">
        <f t="shared" si="0"/>
        <v>5.3599999999999994</v>
      </c>
      <c r="J18" s="441">
        <f t="shared" si="1"/>
        <v>5.79E-2</v>
      </c>
      <c r="K18" s="91"/>
    </row>
    <row r="19" spans="1:11" x14ac:dyDescent="0.4">
      <c r="A19" s="28"/>
      <c r="B19" s="69">
        <v>16000</v>
      </c>
      <c r="D19" s="93">
        <f>'5-8-Inch'!R28</f>
        <v>104.12</v>
      </c>
      <c r="F19" s="93">
        <f>'5-8-Inch'!Z28</f>
        <v>110.16</v>
      </c>
      <c r="H19" s="93">
        <f t="shared" si="0"/>
        <v>6.039999999999992</v>
      </c>
      <c r="J19" s="441">
        <f t="shared" si="1"/>
        <v>5.8000000000000003E-2</v>
      </c>
      <c r="K19" s="91"/>
    </row>
    <row r="20" spans="1:11" x14ac:dyDescent="0.4">
      <c r="A20" s="28"/>
      <c r="B20" s="69">
        <v>18000</v>
      </c>
      <c r="D20" s="93">
        <f>'5-8-Inch'!R29</f>
        <v>115.68</v>
      </c>
      <c r="F20" s="93">
        <f>'5-8-Inch'!Z29</f>
        <v>122.4</v>
      </c>
      <c r="H20" s="93">
        <f t="shared" si="0"/>
        <v>6.7199999999999989</v>
      </c>
      <c r="J20" s="441">
        <f t="shared" si="1"/>
        <v>5.8099999999999999E-2</v>
      </c>
      <c r="K20" s="91"/>
    </row>
    <row r="21" spans="1:11" x14ac:dyDescent="0.4">
      <c r="A21" s="28"/>
      <c r="B21" s="69">
        <v>20000</v>
      </c>
      <c r="D21" s="93">
        <f>'5-8-Inch'!R30</f>
        <v>127.24000000000001</v>
      </c>
      <c r="F21" s="93">
        <f>'5-8-Inch'!Z30</f>
        <v>134.63999999999999</v>
      </c>
      <c r="H21" s="93">
        <f t="shared" si="0"/>
        <v>7.3999999999999773</v>
      </c>
      <c r="J21" s="441">
        <f>ROUND(H21/D21,4)</f>
        <v>5.8200000000000002E-2</v>
      </c>
      <c r="K21" s="91"/>
    </row>
    <row r="22" spans="1:11" x14ac:dyDescent="0.4">
      <c r="A22" s="28"/>
      <c r="B22" s="40"/>
      <c r="D22" s="93"/>
      <c r="F22" s="93"/>
      <c r="J22" s="442"/>
      <c r="K22" s="91"/>
    </row>
    <row r="23" spans="1:11" x14ac:dyDescent="0.4">
      <c r="A23" s="28"/>
      <c r="B23" s="341" t="s">
        <v>230</v>
      </c>
      <c r="J23" s="442"/>
      <c r="K23" s="91"/>
    </row>
    <row r="24" spans="1:11" x14ac:dyDescent="0.4">
      <c r="A24" s="28"/>
      <c r="B24" s="69">
        <v>2000</v>
      </c>
      <c r="D24" s="93">
        <f>'1-Inch'!Q21</f>
        <v>38.29</v>
      </c>
      <c r="F24" s="93">
        <f>'1-Inch'!Y21</f>
        <v>40.51</v>
      </c>
      <c r="H24" s="93">
        <f t="shared" ref="H24:H33" si="2">F24-D24</f>
        <v>2.2199999999999989</v>
      </c>
      <c r="J24" s="441">
        <f t="shared" ref="J24:J33" si="3">ROUND(H24/D24,4)</f>
        <v>5.8000000000000003E-2</v>
      </c>
      <c r="K24" s="91"/>
    </row>
    <row r="25" spans="1:11" x14ac:dyDescent="0.4">
      <c r="A25" s="28"/>
      <c r="B25" s="69">
        <v>4000</v>
      </c>
      <c r="D25" s="93">
        <f>'1-Inch'!Q22</f>
        <v>38.29</v>
      </c>
      <c r="F25" s="93">
        <f>'1-Inch'!Y22</f>
        <v>40.51</v>
      </c>
      <c r="H25" s="93">
        <f t="shared" si="2"/>
        <v>2.2199999999999989</v>
      </c>
      <c r="J25" s="441">
        <f t="shared" si="3"/>
        <v>5.8000000000000003E-2</v>
      </c>
      <c r="K25" s="91"/>
    </row>
    <row r="26" spans="1:11" x14ac:dyDescent="0.4">
      <c r="A26" s="28"/>
      <c r="B26" s="69">
        <v>6000</v>
      </c>
      <c r="D26" s="93">
        <f>'1-Inch'!Q23</f>
        <v>44.74</v>
      </c>
      <c r="F26" s="93">
        <f>'1-Inch'!Y23</f>
        <v>47.33</v>
      </c>
      <c r="H26" s="93">
        <f t="shared" si="2"/>
        <v>2.5899999999999963</v>
      </c>
      <c r="J26" s="441">
        <f t="shared" si="3"/>
        <v>5.79E-2</v>
      </c>
      <c r="K26" s="91"/>
    </row>
    <row r="27" spans="1:11" x14ac:dyDescent="0.4">
      <c r="A27" s="28"/>
      <c r="B27" s="69">
        <v>8000</v>
      </c>
      <c r="D27" s="93">
        <f>'1-Inch'!Q24</f>
        <v>57.64</v>
      </c>
      <c r="F27" s="93">
        <f>'1-Inch'!Y24</f>
        <v>60.97</v>
      </c>
      <c r="H27" s="93">
        <f t="shared" si="2"/>
        <v>3.3299999999999983</v>
      </c>
      <c r="J27" s="441">
        <f t="shared" si="3"/>
        <v>5.7799999999999997E-2</v>
      </c>
      <c r="K27" s="91"/>
    </row>
    <row r="28" spans="1:11" x14ac:dyDescent="0.4">
      <c r="A28" s="28"/>
      <c r="B28" s="69">
        <v>10000</v>
      </c>
      <c r="D28" s="93">
        <f>'1-Inch'!Q25</f>
        <v>70.539999999999992</v>
      </c>
      <c r="F28" s="93">
        <f>'1-Inch'!Y25</f>
        <v>74.61</v>
      </c>
      <c r="H28" s="93">
        <f t="shared" si="2"/>
        <v>4.0700000000000074</v>
      </c>
      <c r="J28" s="441">
        <f t="shared" si="3"/>
        <v>5.7700000000000001E-2</v>
      </c>
      <c r="K28" s="91"/>
    </row>
    <row r="29" spans="1:11" x14ac:dyDescent="0.4">
      <c r="A29" s="28"/>
      <c r="B29" s="69">
        <v>12000</v>
      </c>
      <c r="D29" s="93">
        <f>'1-Inch'!Q26</f>
        <v>82.1</v>
      </c>
      <c r="F29" s="93">
        <f>'1-Inch'!Y26</f>
        <v>86.85</v>
      </c>
      <c r="H29" s="93">
        <f t="shared" si="2"/>
        <v>4.75</v>
      </c>
      <c r="J29" s="441">
        <f t="shared" si="3"/>
        <v>5.79E-2</v>
      </c>
      <c r="K29" s="91"/>
    </row>
    <row r="30" spans="1:11" x14ac:dyDescent="0.4">
      <c r="A30" s="28"/>
      <c r="B30" s="69">
        <v>14000</v>
      </c>
      <c r="D30" s="93">
        <f>'1-Inch'!Q27</f>
        <v>93.66</v>
      </c>
      <c r="F30" s="93">
        <f>'1-Inch'!Y27</f>
        <v>99.09</v>
      </c>
      <c r="H30" s="93">
        <f t="shared" si="2"/>
        <v>5.4300000000000068</v>
      </c>
      <c r="J30" s="441">
        <f t="shared" si="3"/>
        <v>5.8000000000000003E-2</v>
      </c>
      <c r="K30" s="91"/>
    </row>
    <row r="31" spans="1:11" x14ac:dyDescent="0.4">
      <c r="A31" s="28"/>
      <c r="B31" s="69">
        <v>16000</v>
      </c>
      <c r="D31" s="93">
        <f>'1-Inch'!Q28</f>
        <v>105.22</v>
      </c>
      <c r="F31" s="93">
        <f>'1-Inch'!Y28</f>
        <v>111.33000000000001</v>
      </c>
      <c r="H31" s="93">
        <f t="shared" si="2"/>
        <v>6.1100000000000136</v>
      </c>
      <c r="J31" s="441">
        <f t="shared" si="3"/>
        <v>5.8099999999999999E-2</v>
      </c>
      <c r="K31" s="91"/>
    </row>
    <row r="32" spans="1:11" x14ac:dyDescent="0.4">
      <c r="A32" s="28"/>
      <c r="B32" s="69">
        <v>18000</v>
      </c>
      <c r="D32" s="93">
        <f>'1-Inch'!Q29</f>
        <v>116.78</v>
      </c>
      <c r="F32" s="93">
        <f>'1-Inch'!Y29</f>
        <v>123.57</v>
      </c>
      <c r="H32" s="93">
        <f t="shared" si="2"/>
        <v>6.789999999999992</v>
      </c>
      <c r="J32" s="441">
        <f t="shared" si="3"/>
        <v>5.8099999999999999E-2</v>
      </c>
      <c r="K32" s="91"/>
    </row>
    <row r="33" spans="1:11" x14ac:dyDescent="0.4">
      <c r="A33" s="28"/>
      <c r="B33" s="69">
        <v>20000</v>
      </c>
      <c r="D33" s="93">
        <f>'1-Inch'!Q30</f>
        <v>128.34</v>
      </c>
      <c r="F33" s="93">
        <f>'1-Inch'!Y30</f>
        <v>135.81</v>
      </c>
      <c r="H33" s="93">
        <f t="shared" si="2"/>
        <v>7.4699999999999989</v>
      </c>
      <c r="J33" s="441">
        <f t="shared" si="3"/>
        <v>5.8200000000000002E-2</v>
      </c>
      <c r="K33" s="91"/>
    </row>
    <row r="34" spans="1:11" x14ac:dyDescent="0.4">
      <c r="A34" s="28"/>
      <c r="B34" s="69"/>
      <c r="J34" s="442"/>
      <c r="K34" s="91"/>
    </row>
    <row r="35" spans="1:11" x14ac:dyDescent="0.4">
      <c r="A35" s="28"/>
      <c r="B35" s="341" t="s">
        <v>243</v>
      </c>
      <c r="J35" s="442"/>
      <c r="K35" s="91"/>
    </row>
    <row r="36" spans="1:11" x14ac:dyDescent="0.4">
      <c r="A36" s="28"/>
      <c r="B36" s="68">
        <v>5000</v>
      </c>
      <c r="D36" s="59">
        <f>'1.5-Inch'!P17</f>
        <v>77.12</v>
      </c>
      <c r="F36" s="59">
        <f>'1.5-Inch'!W17</f>
        <v>81.600000000000009</v>
      </c>
      <c r="H36" s="93">
        <f t="shared" ref="H36:H41" si="4">F36-D36</f>
        <v>4.480000000000004</v>
      </c>
      <c r="J36" s="441">
        <f t="shared" ref="J36:J41" si="5">ROUND(H36/D36,4)</f>
        <v>5.8099999999999999E-2</v>
      </c>
      <c r="K36" s="91"/>
    </row>
    <row r="37" spans="1:11" x14ac:dyDescent="0.4">
      <c r="A37" s="28"/>
      <c r="B37" s="68">
        <v>10000</v>
      </c>
      <c r="D37" s="59">
        <f>'1.5-Inch'!P18</f>
        <v>106.02000000000001</v>
      </c>
      <c r="F37" s="59">
        <f>'1.5-Inch'!W18</f>
        <v>112.20000000000002</v>
      </c>
      <c r="H37" s="93">
        <f t="shared" si="4"/>
        <v>6.1800000000000068</v>
      </c>
      <c r="J37" s="441">
        <f t="shared" si="5"/>
        <v>5.8299999999999998E-2</v>
      </c>
      <c r="K37" s="91"/>
    </row>
    <row r="38" spans="1:11" x14ac:dyDescent="0.4">
      <c r="A38" s="28"/>
      <c r="B38" s="68">
        <v>15000</v>
      </c>
      <c r="D38" s="59">
        <f>'1.5-Inch'!P19</f>
        <v>133.07000000000002</v>
      </c>
      <c r="F38" s="59">
        <f>'1.5-Inch'!W19</f>
        <v>140.80000000000001</v>
      </c>
      <c r="H38" s="93">
        <f t="shared" si="4"/>
        <v>7.7299999999999898</v>
      </c>
      <c r="J38" s="441">
        <f t="shared" si="5"/>
        <v>5.8099999999999999E-2</v>
      </c>
      <c r="K38" s="91"/>
    </row>
    <row r="39" spans="1:11" x14ac:dyDescent="0.4">
      <c r="A39" s="28"/>
      <c r="B39" s="68">
        <v>20000</v>
      </c>
      <c r="D39" s="59">
        <f>'1.5-Inch'!P20</f>
        <v>160.12</v>
      </c>
      <c r="F39" s="59">
        <f>'1.5-Inch'!W20</f>
        <v>169.40000000000003</v>
      </c>
      <c r="H39" s="93">
        <f t="shared" si="4"/>
        <v>9.2800000000000296</v>
      </c>
      <c r="J39" s="441">
        <f t="shared" si="5"/>
        <v>5.8000000000000003E-2</v>
      </c>
      <c r="K39" s="91"/>
    </row>
    <row r="40" spans="1:11" x14ac:dyDescent="0.4">
      <c r="A40" s="28"/>
      <c r="B40" s="68">
        <v>25000</v>
      </c>
      <c r="D40" s="59">
        <f>'1.5-Inch'!P21</f>
        <v>187.17000000000002</v>
      </c>
      <c r="F40" s="59">
        <f>'1.5-Inch'!W21</f>
        <v>198</v>
      </c>
      <c r="H40" s="93">
        <f t="shared" si="4"/>
        <v>10.829999999999984</v>
      </c>
      <c r="J40" s="441">
        <f t="shared" si="5"/>
        <v>5.79E-2</v>
      </c>
      <c r="K40" s="91"/>
    </row>
    <row r="41" spans="1:11" x14ac:dyDescent="0.4">
      <c r="A41" s="97"/>
      <c r="B41" s="242">
        <v>30000</v>
      </c>
      <c r="C41" s="57"/>
      <c r="D41" s="81">
        <f>'1.5-Inch'!P22</f>
        <v>214.22000000000003</v>
      </c>
      <c r="E41" s="57"/>
      <c r="F41" s="81">
        <f>'1.5-Inch'!W22</f>
        <v>226.60000000000002</v>
      </c>
      <c r="G41" s="57"/>
      <c r="H41" s="435">
        <f t="shared" si="4"/>
        <v>12.379999999999995</v>
      </c>
      <c r="I41" s="57"/>
      <c r="J41" s="443">
        <f t="shared" si="5"/>
        <v>5.7799999999999997E-2</v>
      </c>
      <c r="K41" s="98"/>
    </row>
    <row r="42" spans="1:11" ht="22.15" x14ac:dyDescent="0.55000000000000004">
      <c r="A42" s="95"/>
      <c r="B42" s="104"/>
      <c r="C42" s="521"/>
      <c r="D42" s="521"/>
      <c r="E42" s="521"/>
      <c r="F42" s="521"/>
      <c r="G42" s="521"/>
      <c r="H42" s="521"/>
      <c r="I42" s="521"/>
      <c r="J42" s="521"/>
      <c r="K42" s="96"/>
    </row>
    <row r="43" spans="1:11" ht="22.15" x14ac:dyDescent="0.55000000000000004">
      <c r="A43" s="28"/>
      <c r="B43" s="519" t="s">
        <v>466</v>
      </c>
      <c r="C43" s="519"/>
      <c r="D43" s="519"/>
      <c r="E43" s="519"/>
      <c r="F43" s="519"/>
      <c r="G43" s="519"/>
      <c r="H43" s="519"/>
      <c r="I43" s="519"/>
      <c r="J43" s="519"/>
      <c r="K43" s="91"/>
    </row>
    <row r="44" spans="1:11" ht="22.15" x14ac:dyDescent="0.55000000000000004">
      <c r="A44" s="28"/>
      <c r="B44" s="520" t="s">
        <v>141</v>
      </c>
      <c r="C44" s="520"/>
      <c r="D44" s="520"/>
      <c r="E44" s="520"/>
      <c r="F44" s="520"/>
      <c r="G44" s="520"/>
      <c r="H44" s="520"/>
      <c r="I44" s="520"/>
      <c r="J44" s="520"/>
      <c r="K44" s="91"/>
    </row>
    <row r="45" spans="1:11" ht="22.15" x14ac:dyDescent="0.55000000000000004">
      <c r="A45" s="28"/>
      <c r="B45" s="519" t="str">
        <f>B7</f>
        <v>Simpson Count Water District</v>
      </c>
      <c r="C45" s="519"/>
      <c r="D45" s="519"/>
      <c r="E45" s="519"/>
      <c r="F45" s="519"/>
      <c r="G45" s="519"/>
      <c r="H45" s="519"/>
      <c r="I45" s="519"/>
      <c r="J45" s="519"/>
      <c r="K45" s="91"/>
    </row>
    <row r="46" spans="1:11" x14ac:dyDescent="0.4">
      <c r="A46" s="28"/>
      <c r="B46" s="69"/>
      <c r="J46" s="444"/>
      <c r="K46" s="91"/>
    </row>
    <row r="47" spans="1:11" x14ac:dyDescent="0.4">
      <c r="A47" s="28"/>
      <c r="B47" s="341" t="s">
        <v>232</v>
      </c>
      <c r="J47" s="444"/>
      <c r="K47" s="91"/>
    </row>
    <row r="48" spans="1:11" x14ac:dyDescent="0.4">
      <c r="A48" s="28"/>
      <c r="B48" s="68">
        <v>30000</v>
      </c>
      <c r="D48" s="59">
        <f>'2-Inch'!P17</f>
        <v>113.43</v>
      </c>
      <c r="F48" s="59">
        <f>'2-Inch'!W17</f>
        <v>120.02000000000001</v>
      </c>
      <c r="H48" s="93">
        <f t="shared" ref="H48:H53" si="6">F48-D48</f>
        <v>6.5900000000000034</v>
      </c>
      <c r="J48" s="441">
        <f t="shared" ref="J48:J53" si="7">ROUND(H48/D48,4)</f>
        <v>5.8099999999999999E-2</v>
      </c>
      <c r="K48" s="91"/>
    </row>
    <row r="49" spans="1:11" x14ac:dyDescent="0.4">
      <c r="A49" s="28"/>
      <c r="B49" s="68">
        <v>60000</v>
      </c>
      <c r="D49" s="59">
        <f>'2-Inch'!P18</f>
        <v>367.75</v>
      </c>
      <c r="F49" s="59">
        <f>'2-Inch'!W18</f>
        <v>389.30000000000007</v>
      </c>
      <c r="H49" s="93">
        <f t="shared" si="6"/>
        <v>21.550000000000068</v>
      </c>
      <c r="J49" s="441">
        <f t="shared" si="7"/>
        <v>5.8599999999999999E-2</v>
      </c>
      <c r="K49" s="91"/>
    </row>
    <row r="50" spans="1:11" x14ac:dyDescent="0.4">
      <c r="A50" s="28"/>
      <c r="B50" s="68">
        <v>80000</v>
      </c>
      <c r="D50" s="59">
        <f>'2-Inch'!P19</f>
        <v>483.35</v>
      </c>
      <c r="F50" s="59">
        <f>'2-Inch'!W19</f>
        <v>511.70000000000005</v>
      </c>
      <c r="H50" s="93">
        <f t="shared" si="6"/>
        <v>28.350000000000023</v>
      </c>
      <c r="J50" s="441">
        <f t="shared" si="7"/>
        <v>5.8700000000000002E-2</v>
      </c>
      <c r="K50" s="91"/>
    </row>
    <row r="51" spans="1:11" x14ac:dyDescent="0.4">
      <c r="A51" s="28"/>
      <c r="B51" s="68">
        <v>100000</v>
      </c>
      <c r="D51" s="59">
        <f>'2-Inch'!P20</f>
        <v>598.95000000000005</v>
      </c>
      <c r="F51" s="59">
        <f>'2-Inch'!W20</f>
        <v>634.1</v>
      </c>
      <c r="H51" s="93">
        <f t="shared" si="6"/>
        <v>35.149999999999977</v>
      </c>
      <c r="J51" s="441">
        <f t="shared" si="7"/>
        <v>5.8700000000000002E-2</v>
      </c>
      <c r="K51" s="91"/>
    </row>
    <row r="52" spans="1:11" x14ac:dyDescent="0.4">
      <c r="A52" s="28"/>
      <c r="B52" s="68">
        <v>120000</v>
      </c>
      <c r="D52" s="59">
        <f>'2-Inch'!P21</f>
        <v>714.55</v>
      </c>
      <c r="F52" s="59">
        <f>'2-Inch'!W21</f>
        <v>756.5</v>
      </c>
      <c r="H52" s="93">
        <f t="shared" si="6"/>
        <v>41.950000000000045</v>
      </c>
      <c r="J52" s="441">
        <f t="shared" si="7"/>
        <v>5.8700000000000002E-2</v>
      </c>
      <c r="K52" s="91"/>
    </row>
    <row r="53" spans="1:11" x14ac:dyDescent="0.4">
      <c r="A53" s="28"/>
      <c r="B53" s="68">
        <v>140000</v>
      </c>
      <c r="D53" s="59">
        <f>'2-Inch'!P22</f>
        <v>830.15000000000009</v>
      </c>
      <c r="F53" s="59">
        <f>'2-Inch'!W22</f>
        <v>878.90000000000009</v>
      </c>
      <c r="H53" s="93">
        <f t="shared" si="6"/>
        <v>48.75</v>
      </c>
      <c r="J53" s="441">
        <f t="shared" si="7"/>
        <v>5.8700000000000002E-2</v>
      </c>
      <c r="K53" s="91"/>
    </row>
    <row r="54" spans="1:11" x14ac:dyDescent="0.4">
      <c r="A54" s="28"/>
      <c r="B54" s="40"/>
      <c r="J54" s="442"/>
      <c r="K54" s="91"/>
    </row>
    <row r="55" spans="1:11" x14ac:dyDescent="0.4">
      <c r="A55" s="28"/>
      <c r="B55" s="341" t="s">
        <v>233</v>
      </c>
      <c r="J55" s="442"/>
      <c r="K55" s="91"/>
    </row>
    <row r="56" spans="1:11" x14ac:dyDescent="0.4">
      <c r="A56" s="28"/>
      <c r="B56" s="68">
        <v>30000</v>
      </c>
      <c r="D56" s="59">
        <f>'3-Inch'!P17</f>
        <v>223.99</v>
      </c>
      <c r="F56" s="59">
        <f>'3-Inch'!W17</f>
        <v>237</v>
      </c>
      <c r="H56" s="93">
        <f t="shared" ref="H56:H61" si="8">F56-D56</f>
        <v>13.009999999999991</v>
      </c>
      <c r="J56" s="441">
        <f t="shared" ref="J56:J61" si="9">ROUND(H56/D56,4)</f>
        <v>5.8099999999999999E-2</v>
      </c>
      <c r="K56" s="91"/>
    </row>
    <row r="57" spans="1:11" x14ac:dyDescent="0.4">
      <c r="A57" s="28"/>
      <c r="B57" s="68">
        <v>60000</v>
      </c>
      <c r="D57" s="59">
        <f>'3-Inch'!P18</f>
        <v>397.39</v>
      </c>
      <c r="F57" s="59">
        <f>'3-Inch'!W18</f>
        <v>420.6</v>
      </c>
      <c r="H57" s="93">
        <f t="shared" si="8"/>
        <v>23.210000000000036</v>
      </c>
      <c r="J57" s="441">
        <f t="shared" si="9"/>
        <v>5.8400000000000001E-2</v>
      </c>
      <c r="K57" s="91"/>
    </row>
    <row r="58" spans="1:11" x14ac:dyDescent="0.4">
      <c r="A58" s="28"/>
      <c r="B58" s="68">
        <v>80000</v>
      </c>
      <c r="D58" s="59">
        <f>'3-Inch'!P19</f>
        <v>593.91000000000008</v>
      </c>
      <c r="F58" s="59">
        <f>'3-Inch'!W19</f>
        <v>628.68000000000006</v>
      </c>
      <c r="H58" s="93">
        <f t="shared" si="8"/>
        <v>34.769999999999982</v>
      </c>
      <c r="J58" s="441">
        <f t="shared" si="9"/>
        <v>5.8500000000000003E-2</v>
      </c>
      <c r="K58" s="91"/>
    </row>
    <row r="59" spans="1:11" x14ac:dyDescent="0.4">
      <c r="A59" s="28"/>
      <c r="B59" s="68">
        <v>100000</v>
      </c>
      <c r="D59" s="59">
        <f>'3-Inch'!P20</f>
        <v>709.51</v>
      </c>
      <c r="F59" s="59">
        <f>'3-Inch'!W20</f>
        <v>751.08</v>
      </c>
      <c r="H59" s="93">
        <f t="shared" si="8"/>
        <v>41.57000000000005</v>
      </c>
      <c r="J59" s="441">
        <f t="shared" si="9"/>
        <v>5.8599999999999999E-2</v>
      </c>
      <c r="K59" s="91"/>
    </row>
    <row r="60" spans="1:11" x14ac:dyDescent="0.4">
      <c r="A60" s="28"/>
      <c r="B60" s="68">
        <v>120000</v>
      </c>
      <c r="D60" s="59">
        <f>'3-Inch'!P21</f>
        <v>825.11</v>
      </c>
      <c r="F60" s="59">
        <f>'3-Inch'!W21</f>
        <v>873.48</v>
      </c>
      <c r="H60" s="93">
        <f t="shared" si="8"/>
        <v>48.370000000000005</v>
      </c>
      <c r="J60" s="441">
        <f t="shared" si="9"/>
        <v>5.8599999999999999E-2</v>
      </c>
      <c r="K60" s="91"/>
    </row>
    <row r="61" spans="1:11" x14ac:dyDescent="0.4">
      <c r="A61" s="28"/>
      <c r="B61" s="68">
        <v>140000</v>
      </c>
      <c r="D61" s="59">
        <f>'3-Inch'!P22</f>
        <v>940.71</v>
      </c>
      <c r="F61" s="59">
        <f>'3-Inch'!W22</f>
        <v>995.88000000000011</v>
      </c>
      <c r="H61" s="93">
        <f t="shared" si="8"/>
        <v>55.170000000000073</v>
      </c>
      <c r="J61" s="441">
        <f t="shared" si="9"/>
        <v>5.8599999999999999E-2</v>
      </c>
      <c r="K61" s="91"/>
    </row>
    <row r="62" spans="1:11" x14ac:dyDescent="0.4">
      <c r="A62" s="28"/>
      <c r="B62" s="68"/>
      <c r="D62" s="59"/>
      <c r="F62" s="59"/>
      <c r="H62" s="93"/>
      <c r="J62" s="441"/>
      <c r="K62" s="91"/>
    </row>
    <row r="63" spans="1:11" x14ac:dyDescent="0.4">
      <c r="A63" s="28"/>
      <c r="B63" s="341" t="s">
        <v>234</v>
      </c>
      <c r="J63" s="442"/>
      <c r="K63" s="91"/>
    </row>
    <row r="64" spans="1:11" x14ac:dyDescent="0.4">
      <c r="A64" s="28"/>
      <c r="B64" s="68">
        <v>60000</v>
      </c>
      <c r="D64" s="59">
        <f>'4-Inch'!P17</f>
        <v>403.90000000000003</v>
      </c>
      <c r="F64" s="59">
        <f>'4-Inch'!W17</f>
        <v>427.41</v>
      </c>
      <c r="H64" s="93">
        <f t="shared" ref="H64:H68" si="10">F64-D64</f>
        <v>23.509999999999991</v>
      </c>
      <c r="J64" s="441">
        <f t="shared" ref="J64:J68" si="11">ROUND(H64/D64,4)</f>
        <v>5.8200000000000002E-2</v>
      </c>
      <c r="K64" s="91"/>
    </row>
    <row r="65" spans="1:11" x14ac:dyDescent="0.4">
      <c r="A65" s="28"/>
      <c r="B65" s="68">
        <v>80000</v>
      </c>
      <c r="D65" s="59">
        <f>'4-Inch'!P18</f>
        <v>519.5</v>
      </c>
      <c r="F65" s="59">
        <f>'4-Inch'!W18</f>
        <v>549.81000000000006</v>
      </c>
      <c r="H65" s="93">
        <f t="shared" si="10"/>
        <v>30.310000000000059</v>
      </c>
      <c r="J65" s="441">
        <f t="shared" si="11"/>
        <v>5.8299999999999998E-2</v>
      </c>
      <c r="K65" s="91"/>
    </row>
    <row r="66" spans="1:11" x14ac:dyDescent="0.4">
      <c r="A66" s="28"/>
      <c r="B66" s="68">
        <v>100000</v>
      </c>
      <c r="D66" s="59">
        <f>'4-Inch'!P19</f>
        <v>635.1</v>
      </c>
      <c r="F66" s="59">
        <f>'4-Inch'!W19</f>
        <v>672.21</v>
      </c>
      <c r="H66" s="93">
        <f t="shared" si="10"/>
        <v>37.110000000000014</v>
      </c>
      <c r="J66" s="441">
        <f t="shared" si="11"/>
        <v>5.8400000000000001E-2</v>
      </c>
      <c r="K66" s="91"/>
    </row>
    <row r="67" spans="1:11" x14ac:dyDescent="0.4">
      <c r="A67" s="28"/>
      <c r="B67" s="68">
        <v>120000</v>
      </c>
      <c r="D67" s="59">
        <f>'4-Inch'!P20</f>
        <v>750.7</v>
      </c>
      <c r="F67" s="59">
        <f>'4-Inch'!W20</f>
        <v>794.61000000000013</v>
      </c>
      <c r="H67" s="93">
        <f t="shared" si="10"/>
        <v>43.910000000000082</v>
      </c>
      <c r="J67" s="441">
        <f t="shared" si="11"/>
        <v>5.8500000000000003E-2</v>
      </c>
      <c r="K67" s="91"/>
    </row>
    <row r="68" spans="1:11" x14ac:dyDescent="0.4">
      <c r="A68" s="28"/>
      <c r="B68" s="68">
        <v>140000</v>
      </c>
      <c r="D68" s="59">
        <f>'4-Inch'!P21</f>
        <v>866.30000000000007</v>
      </c>
      <c r="F68" s="59">
        <f>'4-Inch'!W21</f>
        <v>917.0100000000001</v>
      </c>
      <c r="H68" s="93">
        <f t="shared" si="10"/>
        <v>50.710000000000036</v>
      </c>
      <c r="J68" s="441">
        <f t="shared" si="11"/>
        <v>5.8500000000000003E-2</v>
      </c>
      <c r="K68" s="91"/>
    </row>
    <row r="69" spans="1:11" x14ac:dyDescent="0.4">
      <c r="A69" s="28"/>
      <c r="B69" s="68">
        <v>220000</v>
      </c>
      <c r="D69" s="59">
        <f>'4-Inch'!P22</f>
        <v>1321.3000000000002</v>
      </c>
      <c r="F69" s="59">
        <f>'4-Inch'!W22</f>
        <v>1398.6100000000001</v>
      </c>
      <c r="H69" s="93">
        <f t="shared" ref="H69" si="12">F69-D69</f>
        <v>77.309999999999945</v>
      </c>
      <c r="J69" s="441">
        <f t="shared" ref="J69" si="13">ROUND(H69/D69,4)</f>
        <v>5.8500000000000003E-2</v>
      </c>
      <c r="K69" s="91"/>
    </row>
    <row r="70" spans="1:11" x14ac:dyDescent="0.4">
      <c r="A70" s="28"/>
      <c r="B70" s="68"/>
      <c r="D70" s="59"/>
      <c r="F70" s="59"/>
      <c r="H70" s="93"/>
      <c r="J70" s="441"/>
      <c r="K70" s="91"/>
    </row>
    <row r="71" spans="1:11" x14ac:dyDescent="0.4">
      <c r="A71" s="28"/>
      <c r="B71" s="341" t="s">
        <v>235</v>
      </c>
      <c r="J71" s="442"/>
      <c r="K71" s="91"/>
    </row>
    <row r="72" spans="1:11" x14ac:dyDescent="0.4">
      <c r="A72" s="28"/>
      <c r="B72" s="68">
        <v>120000</v>
      </c>
      <c r="D72" s="59">
        <f>'6-Inch'!P16</f>
        <v>765.91</v>
      </c>
      <c r="F72" s="59">
        <f>'6-Inch'!W16</f>
        <v>810.4899999999999</v>
      </c>
      <c r="H72" s="93">
        <f t="shared" ref="H72:H76" si="14">F72-D72</f>
        <v>44.579999999999927</v>
      </c>
      <c r="J72" s="441">
        <f t="shared" ref="J72:J76" si="15">ROUND(H72/D72,4)</f>
        <v>5.8200000000000002E-2</v>
      </c>
      <c r="K72" s="91"/>
    </row>
    <row r="73" spans="1:11" x14ac:dyDescent="0.4">
      <c r="A73" s="28"/>
      <c r="B73" s="68">
        <v>140000</v>
      </c>
      <c r="D73" s="59">
        <f>'6-Inch'!P17</f>
        <v>881.51</v>
      </c>
      <c r="F73" s="59">
        <f>'6-Inch'!W17</f>
        <v>932.88999999999987</v>
      </c>
      <c r="H73" s="93">
        <f t="shared" si="14"/>
        <v>51.379999999999882</v>
      </c>
      <c r="J73" s="441">
        <f t="shared" si="15"/>
        <v>5.8299999999999998E-2</v>
      </c>
      <c r="K73" s="91"/>
    </row>
    <row r="74" spans="1:11" x14ac:dyDescent="0.4">
      <c r="A74" s="28"/>
      <c r="B74" s="68">
        <v>160000</v>
      </c>
      <c r="D74" s="59">
        <f>'6-Inch'!P18</f>
        <v>997.1099999999999</v>
      </c>
      <c r="F74" s="59">
        <f>'6-Inch'!W18</f>
        <v>1055.29</v>
      </c>
      <c r="H74" s="93">
        <f t="shared" si="14"/>
        <v>58.180000000000064</v>
      </c>
      <c r="J74" s="441">
        <f t="shared" si="15"/>
        <v>5.8299999999999998E-2</v>
      </c>
      <c r="K74" s="91"/>
    </row>
    <row r="75" spans="1:11" x14ac:dyDescent="0.4">
      <c r="A75" s="28"/>
      <c r="B75" s="68">
        <v>180000</v>
      </c>
      <c r="D75" s="59">
        <f>'6-Inch'!P19</f>
        <v>1112.71</v>
      </c>
      <c r="F75" s="59">
        <f>'6-Inch'!W19</f>
        <v>1177.69</v>
      </c>
      <c r="H75" s="93">
        <f t="shared" si="14"/>
        <v>64.980000000000018</v>
      </c>
      <c r="J75" s="441">
        <f t="shared" si="15"/>
        <v>5.8400000000000001E-2</v>
      </c>
      <c r="K75" s="91"/>
    </row>
    <row r="76" spans="1:11" x14ac:dyDescent="0.4">
      <c r="A76" s="28"/>
      <c r="B76" s="68">
        <v>200000</v>
      </c>
      <c r="D76" s="59">
        <f>'6-Inch'!P20</f>
        <v>1228.31</v>
      </c>
      <c r="F76" s="59">
        <f>'6-Inch'!W20</f>
        <v>1300.0899999999999</v>
      </c>
      <c r="H76" s="93">
        <f t="shared" si="14"/>
        <v>71.779999999999973</v>
      </c>
      <c r="J76" s="441">
        <f t="shared" si="15"/>
        <v>5.8400000000000001E-2</v>
      </c>
      <c r="K76" s="91"/>
    </row>
    <row r="77" spans="1:11" x14ac:dyDescent="0.4">
      <c r="A77" s="28"/>
      <c r="B77" s="341"/>
      <c r="J77" s="442"/>
      <c r="K77" s="91"/>
    </row>
    <row r="78" spans="1:11" x14ac:dyDescent="0.4">
      <c r="A78" s="28"/>
      <c r="B78" s="341" t="s">
        <v>236</v>
      </c>
      <c r="J78" s="442"/>
      <c r="K78" s="91"/>
    </row>
    <row r="79" spans="1:11" x14ac:dyDescent="0.4">
      <c r="A79" s="28"/>
      <c r="B79" s="68">
        <v>120000</v>
      </c>
      <c r="D79" s="59">
        <f>'8-Inch'!P16</f>
        <v>1018.89</v>
      </c>
      <c r="F79" s="59">
        <f>'8-Inch'!W16</f>
        <v>1078.0899999999999</v>
      </c>
      <c r="H79" s="93">
        <f t="shared" ref="H79:H83" si="16">F79-D79</f>
        <v>59.199999999999932</v>
      </c>
      <c r="J79" s="441">
        <f t="shared" ref="J79:J83" si="17">ROUND(H79/D79,4)</f>
        <v>5.8099999999999999E-2</v>
      </c>
      <c r="K79" s="91"/>
    </row>
    <row r="80" spans="1:11" x14ac:dyDescent="0.4">
      <c r="A80" s="28"/>
      <c r="B80" s="68">
        <v>140000</v>
      </c>
      <c r="D80" s="59">
        <f>'8-Inch'!P17</f>
        <v>1018.89</v>
      </c>
      <c r="F80" s="59">
        <f>'8-Inch'!W17</f>
        <v>1078.0899999999999</v>
      </c>
      <c r="H80" s="93">
        <f t="shared" si="16"/>
        <v>59.199999999999932</v>
      </c>
      <c r="J80" s="441">
        <f t="shared" si="17"/>
        <v>5.8099999999999999E-2</v>
      </c>
      <c r="K80" s="91"/>
    </row>
    <row r="81" spans="1:11" x14ac:dyDescent="0.4">
      <c r="A81" s="28"/>
      <c r="B81" s="68">
        <v>160000</v>
      </c>
      <c r="D81" s="59">
        <f>'8-Inch'!P18</f>
        <v>1018.89</v>
      </c>
      <c r="F81" s="59">
        <f>'8-Inch'!W18</f>
        <v>1078.0899999999999</v>
      </c>
      <c r="H81" s="93">
        <f t="shared" si="16"/>
        <v>59.199999999999932</v>
      </c>
      <c r="J81" s="441">
        <f t="shared" si="17"/>
        <v>5.8099999999999999E-2</v>
      </c>
      <c r="K81" s="91"/>
    </row>
    <row r="82" spans="1:11" x14ac:dyDescent="0.4">
      <c r="A82" s="28"/>
      <c r="B82" s="68">
        <v>180000</v>
      </c>
      <c r="D82" s="59">
        <f>'8-Inch'!P19</f>
        <v>1134.49</v>
      </c>
      <c r="F82" s="59">
        <f>'8-Inch'!W19</f>
        <v>1200.49</v>
      </c>
      <c r="H82" s="93">
        <f t="shared" si="16"/>
        <v>66</v>
      </c>
      <c r="J82" s="441">
        <f t="shared" si="17"/>
        <v>5.8200000000000002E-2</v>
      </c>
      <c r="K82" s="91"/>
    </row>
    <row r="83" spans="1:11" x14ac:dyDescent="0.4">
      <c r="A83" s="28"/>
      <c r="B83" s="68">
        <v>200000</v>
      </c>
      <c r="D83" s="59">
        <f>'8-Inch'!P20</f>
        <v>1250.0899999999999</v>
      </c>
      <c r="F83" s="59">
        <f>'8-Inch'!W20</f>
        <v>1322.8899999999999</v>
      </c>
      <c r="H83" s="93">
        <f t="shared" si="16"/>
        <v>72.799999999999955</v>
      </c>
      <c r="J83" s="441">
        <f t="shared" si="17"/>
        <v>5.8200000000000002E-2</v>
      </c>
      <c r="K83" s="91"/>
    </row>
    <row r="84" spans="1:11" x14ac:dyDescent="0.4">
      <c r="A84" s="28"/>
      <c r="B84" s="341"/>
      <c r="J84" s="442"/>
      <c r="K84" s="91"/>
    </row>
    <row r="85" spans="1:11" x14ac:dyDescent="0.4">
      <c r="A85" s="28"/>
      <c r="B85" s="341"/>
      <c r="J85" s="442"/>
      <c r="K85" s="91"/>
    </row>
    <row r="86" spans="1:11" x14ac:dyDescent="0.4">
      <c r="A86" s="28"/>
      <c r="B86" s="436" t="s">
        <v>348</v>
      </c>
      <c r="J86" s="442"/>
      <c r="K86" s="91"/>
    </row>
    <row r="87" spans="1:11" x14ac:dyDescent="0.4">
      <c r="A87" s="28"/>
      <c r="B87" s="438" t="s">
        <v>468</v>
      </c>
      <c r="D87" s="59">
        <f>'Table C'!F73</f>
        <v>10.37</v>
      </c>
      <c r="F87" s="59">
        <f>'Table C'!L73</f>
        <v>10.969999999999999</v>
      </c>
      <c r="H87" s="93">
        <f t="shared" ref="H87" si="18">F87-D87</f>
        <v>0.59999999999999964</v>
      </c>
      <c r="J87" s="441">
        <f>ROUND(H87/D87,4)</f>
        <v>5.79E-2</v>
      </c>
      <c r="K87" s="91"/>
    </row>
    <row r="88" spans="1:11" x14ac:dyDescent="0.4">
      <c r="A88" s="28"/>
      <c r="B88" s="438" t="s">
        <v>469</v>
      </c>
      <c r="D88" s="59">
        <f>'Table C'!F74</f>
        <v>17.46</v>
      </c>
      <c r="F88" s="59">
        <f>'Table C'!L74</f>
        <v>18.470000000000002</v>
      </c>
      <c r="H88" s="93">
        <f t="shared" ref="H88:H94" si="19">F88-D88</f>
        <v>1.0100000000000016</v>
      </c>
      <c r="J88" s="441">
        <f t="shared" ref="J88:J94" si="20">ROUND(H88/D88,4)</f>
        <v>5.7799999999999997E-2</v>
      </c>
      <c r="K88" s="91"/>
    </row>
    <row r="89" spans="1:11" x14ac:dyDescent="0.4">
      <c r="A89" s="28"/>
      <c r="B89" s="438" t="s">
        <v>470</v>
      </c>
      <c r="D89" s="59">
        <f>'Table C'!F75</f>
        <v>27.03</v>
      </c>
      <c r="F89" s="59">
        <f>'Table C'!L75</f>
        <v>28.6</v>
      </c>
      <c r="H89" s="93">
        <f t="shared" si="19"/>
        <v>1.5700000000000003</v>
      </c>
      <c r="J89" s="441">
        <f t="shared" si="20"/>
        <v>5.8099999999999999E-2</v>
      </c>
      <c r="K89" s="91"/>
    </row>
    <row r="90" spans="1:11" x14ac:dyDescent="0.4">
      <c r="A90" s="28"/>
      <c r="B90" s="438" t="s">
        <v>471</v>
      </c>
      <c r="D90" s="59">
        <f>'Table C'!F76</f>
        <v>67.86</v>
      </c>
      <c r="F90" s="59">
        <f>'Table C'!L76</f>
        <v>71.8</v>
      </c>
      <c r="H90" s="93">
        <f t="shared" si="19"/>
        <v>3.9399999999999977</v>
      </c>
      <c r="J90" s="441">
        <f t="shared" si="20"/>
        <v>5.8099999999999999E-2</v>
      </c>
      <c r="K90" s="91"/>
    </row>
    <row r="91" spans="1:11" x14ac:dyDescent="0.4">
      <c r="A91" s="28"/>
      <c r="B91" s="438" t="s">
        <v>244</v>
      </c>
      <c r="D91" s="59">
        <f>'Table C'!F77</f>
        <v>142.96</v>
      </c>
      <c r="F91" s="59">
        <f>'Table C'!L77</f>
        <v>151.27000000000001</v>
      </c>
      <c r="H91" s="93">
        <f t="shared" si="19"/>
        <v>8.3100000000000023</v>
      </c>
      <c r="J91" s="441">
        <f t="shared" si="20"/>
        <v>5.8099999999999999E-2</v>
      </c>
      <c r="K91" s="91"/>
    </row>
    <row r="92" spans="1:11" x14ac:dyDescent="0.4">
      <c r="A92" s="28"/>
      <c r="B92" s="438" t="s">
        <v>245</v>
      </c>
      <c r="D92" s="59">
        <f>'Table C'!F78</f>
        <v>355.58</v>
      </c>
      <c r="F92" s="59">
        <f>'Table C'!L78</f>
        <v>376.24</v>
      </c>
      <c r="H92" s="93">
        <f t="shared" si="19"/>
        <v>20.660000000000025</v>
      </c>
      <c r="J92" s="441">
        <f t="shared" si="20"/>
        <v>5.8099999999999999E-2</v>
      </c>
      <c r="K92" s="91"/>
    </row>
    <row r="93" spans="1:11" x14ac:dyDescent="0.4">
      <c r="A93" s="28"/>
      <c r="B93" s="438" t="s">
        <v>467</v>
      </c>
      <c r="D93" s="59">
        <f>'Table C'!F79</f>
        <v>713.09</v>
      </c>
      <c r="F93" s="59">
        <f>'Table C'!L79</f>
        <v>754.52</v>
      </c>
      <c r="H93" s="93">
        <f t="shared" si="19"/>
        <v>41.42999999999995</v>
      </c>
      <c r="J93" s="441">
        <f t="shared" si="20"/>
        <v>5.8099999999999999E-2</v>
      </c>
      <c r="K93" s="91"/>
    </row>
    <row r="94" spans="1:11" x14ac:dyDescent="0.4">
      <c r="A94" s="28"/>
      <c r="B94" s="438" t="s">
        <v>472</v>
      </c>
      <c r="D94" s="59">
        <f>'Table C'!F80</f>
        <v>1253.3599999999999</v>
      </c>
      <c r="F94" s="59">
        <f>'Table C'!L80</f>
        <v>1326.1799999999998</v>
      </c>
      <c r="H94" s="93">
        <f t="shared" si="19"/>
        <v>72.819999999999936</v>
      </c>
      <c r="J94" s="441">
        <f t="shared" si="20"/>
        <v>5.8099999999999999E-2</v>
      </c>
      <c r="K94" s="91"/>
    </row>
    <row r="95" spans="1:11" x14ac:dyDescent="0.4">
      <c r="A95" s="97"/>
      <c r="B95" s="57"/>
      <c r="C95" s="57"/>
      <c r="D95" s="57"/>
      <c r="E95" s="57"/>
      <c r="F95" s="57"/>
      <c r="G95" s="57"/>
      <c r="H95" s="57"/>
      <c r="I95" s="57"/>
      <c r="J95" s="57"/>
      <c r="K95" s="98"/>
    </row>
  </sheetData>
  <mergeCells count="8">
    <mergeCell ref="B45:J45"/>
    <mergeCell ref="B6:J6"/>
    <mergeCell ref="B7:J7"/>
    <mergeCell ref="C4:J4"/>
    <mergeCell ref="B5:J5"/>
    <mergeCell ref="C42:J42"/>
    <mergeCell ref="B43:J43"/>
    <mergeCell ref="B44:J44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CB41E-C5A8-4B5C-BA36-5EFD9533D53D}">
  <dimension ref="A3:Z32"/>
  <sheetViews>
    <sheetView workbookViewId="0">
      <selection sqref="A1:XFD1048576"/>
    </sheetView>
  </sheetViews>
  <sheetFormatPr defaultRowHeight="15" x14ac:dyDescent="0.4"/>
  <cols>
    <col min="3" max="3" width="4.77734375" style="40" customWidth="1"/>
    <col min="4" max="5" width="10.77734375" style="40" customWidth="1"/>
    <col min="6" max="6" width="1.77734375" style="214" customWidth="1"/>
    <col min="7" max="7" width="10.77734375" style="40" customWidth="1"/>
    <col min="8" max="8" width="1.21875" style="40" customWidth="1"/>
    <col min="9" max="9" width="10.77734375" style="214" customWidth="1"/>
    <col min="10" max="10" width="10.77734375" style="40" customWidth="1"/>
    <col min="11" max="11" width="8.88671875" style="228"/>
    <col min="12" max="12" width="11.44140625" style="68" bestFit="1" customWidth="1"/>
    <col min="13" max="15" width="10.44140625" style="68" bestFit="1" customWidth="1"/>
    <col min="16" max="17" width="11.44140625" style="68" bestFit="1" customWidth="1"/>
    <col min="20" max="20" width="11.44140625" style="68" bestFit="1" customWidth="1"/>
    <col min="21" max="23" width="10.44140625" style="68" bestFit="1" customWidth="1"/>
    <col min="24" max="25" width="11.44140625" style="68" bestFit="1" customWidth="1"/>
  </cols>
  <sheetData>
    <row r="3" spans="1:26" x14ac:dyDescent="0.4">
      <c r="C3"/>
      <c r="D3"/>
      <c r="E3"/>
      <c r="F3"/>
      <c r="G3"/>
      <c r="H3"/>
      <c r="I3"/>
      <c r="J3"/>
    </row>
    <row r="4" spans="1:26" x14ac:dyDescent="0.4">
      <c r="C4"/>
      <c r="D4"/>
      <c r="E4"/>
      <c r="F4"/>
      <c r="G4"/>
      <c r="H4"/>
      <c r="I4"/>
      <c r="J4"/>
    </row>
    <row r="5" spans="1:26" x14ac:dyDescent="0.4">
      <c r="C5"/>
      <c r="D5"/>
      <c r="E5"/>
      <c r="F5"/>
      <c r="G5"/>
      <c r="H5"/>
      <c r="I5"/>
      <c r="J5"/>
    </row>
    <row r="7" spans="1:26" x14ac:dyDescent="0.4">
      <c r="C7" s="339"/>
      <c r="I7" s="340"/>
      <c r="L7" s="522" t="s">
        <v>456</v>
      </c>
      <c r="M7" s="522"/>
      <c r="N7" s="522"/>
      <c r="O7" s="522"/>
      <c r="P7" s="522"/>
      <c r="Q7" s="522"/>
      <c r="R7" s="522"/>
      <c r="T7" s="522" t="s">
        <v>456</v>
      </c>
      <c r="U7" s="522"/>
      <c r="V7" s="522"/>
      <c r="W7" s="522"/>
      <c r="X7" s="522"/>
      <c r="Y7" s="522"/>
      <c r="Z7" s="522"/>
    </row>
    <row r="8" spans="1:26" ht="15.75" x14ac:dyDescent="0.5">
      <c r="A8" s="40" t="s">
        <v>229</v>
      </c>
      <c r="B8" s="60"/>
      <c r="D8" s="219"/>
      <c r="E8" s="220"/>
      <c r="F8" s="13"/>
      <c r="H8" s="60"/>
      <c r="I8" s="40"/>
      <c r="J8" s="219"/>
      <c r="K8" s="220"/>
      <c r="M8" s="60">
        <v>2000</v>
      </c>
      <c r="N8" s="60">
        <v>8000</v>
      </c>
      <c r="O8" s="60">
        <v>190000</v>
      </c>
      <c r="P8" s="60">
        <v>400000</v>
      </c>
      <c r="Q8" s="60">
        <f>SUM(M8:P8)</f>
        <v>600000</v>
      </c>
      <c r="U8" s="60">
        <v>2000</v>
      </c>
      <c r="V8" s="60">
        <v>8000</v>
      </c>
      <c r="W8" s="60">
        <v>190000</v>
      </c>
      <c r="X8" s="60">
        <v>400000</v>
      </c>
      <c r="Y8" s="60">
        <f>SUM(U8:X8)</f>
        <v>600000</v>
      </c>
    </row>
    <row r="9" spans="1:26" ht="15.75" x14ac:dyDescent="0.5">
      <c r="A9" s="40" t="s">
        <v>48</v>
      </c>
      <c r="B9" s="60">
        <v>2000</v>
      </c>
      <c r="C9" s="40" t="s">
        <v>125</v>
      </c>
      <c r="D9" s="221">
        <f>'Table C'!F11</f>
        <v>17.84</v>
      </c>
      <c r="E9" s="220" t="s">
        <v>145</v>
      </c>
      <c r="F9" s="13"/>
      <c r="G9" s="221">
        <f>'Table C'!L11</f>
        <v>18.88</v>
      </c>
      <c r="H9" s="220" t="s">
        <v>145</v>
      </c>
      <c r="I9" s="40"/>
      <c r="M9" s="59">
        <f>D9</f>
        <v>17.84</v>
      </c>
      <c r="N9" s="115">
        <f>D10</f>
        <v>6.45E-3</v>
      </c>
      <c r="O9" s="115">
        <f>D11</f>
        <v>5.7800000000000004E-3</v>
      </c>
      <c r="P9" s="115">
        <f>D12</f>
        <v>5.4099999999999999E-3</v>
      </c>
      <c r="Q9" s="115">
        <f>D13</f>
        <v>4.0099999999999997E-3</v>
      </c>
      <c r="U9" s="59">
        <f>G9</f>
        <v>18.88</v>
      </c>
      <c r="V9" s="115">
        <f>G10</f>
        <v>6.8199999999999997E-3</v>
      </c>
      <c r="W9" s="115">
        <f>G11</f>
        <v>6.1200000000000004E-3</v>
      </c>
      <c r="X9" s="115">
        <f>G12</f>
        <v>5.7200000000000003E-3</v>
      </c>
      <c r="Y9" s="115">
        <f>G13</f>
        <v>4.2399999999999998E-3</v>
      </c>
    </row>
    <row r="10" spans="1:26" ht="15.75" x14ac:dyDescent="0.5">
      <c r="A10" s="40" t="s">
        <v>49</v>
      </c>
      <c r="B10" s="60">
        <v>8000</v>
      </c>
      <c r="C10" s="40" t="s">
        <v>125</v>
      </c>
      <c r="D10" s="222">
        <f>'Table C'!F12</f>
        <v>6.45E-3</v>
      </c>
      <c r="E10" s="220" t="s">
        <v>144</v>
      </c>
      <c r="F10" s="13"/>
      <c r="G10" s="222">
        <f>'Table C'!L12</f>
        <v>6.8199999999999997E-3</v>
      </c>
      <c r="H10" s="220" t="s">
        <v>144</v>
      </c>
      <c r="I10" s="40"/>
      <c r="L10" s="68">
        <v>2000</v>
      </c>
      <c r="M10" s="68">
        <v>2000</v>
      </c>
      <c r="N10" s="68">
        <f>L10-M10</f>
        <v>0</v>
      </c>
      <c r="T10" s="68">
        <v>2000</v>
      </c>
      <c r="U10" s="68">
        <f>M10</f>
        <v>2000</v>
      </c>
      <c r="V10" s="68">
        <f t="shared" ref="V10:Y19" si="0">N10</f>
        <v>0</v>
      </c>
      <c r="W10" s="68">
        <f t="shared" si="0"/>
        <v>0</v>
      </c>
      <c r="X10" s="68">
        <f t="shared" si="0"/>
        <v>0</v>
      </c>
      <c r="Y10" s="68">
        <f t="shared" si="0"/>
        <v>0</v>
      </c>
    </row>
    <row r="11" spans="1:26" ht="15.75" x14ac:dyDescent="0.5">
      <c r="A11" s="40" t="s">
        <v>49</v>
      </c>
      <c r="B11" s="60">
        <v>190000</v>
      </c>
      <c r="C11" s="40" t="s">
        <v>125</v>
      </c>
      <c r="D11" s="222">
        <f>'Table C'!F13</f>
        <v>5.7800000000000004E-3</v>
      </c>
      <c r="E11" s="220" t="s">
        <v>144</v>
      </c>
      <c r="F11" s="13"/>
      <c r="G11" s="222">
        <f>'Table C'!L13</f>
        <v>6.1200000000000004E-3</v>
      </c>
      <c r="H11" s="220" t="s">
        <v>144</v>
      </c>
      <c r="I11" s="40"/>
      <c r="L11" s="68">
        <v>4000</v>
      </c>
      <c r="M11" s="68">
        <v>2000</v>
      </c>
      <c r="N11" s="60">
        <f>L11-M11</f>
        <v>2000</v>
      </c>
      <c r="R11" s="68">
        <f>SUM(M11:Q11)</f>
        <v>4000</v>
      </c>
      <c r="T11" s="68">
        <v>4000</v>
      </c>
      <c r="U11" s="68">
        <f t="shared" ref="U11:U19" si="1">M11</f>
        <v>2000</v>
      </c>
      <c r="V11" s="68">
        <f t="shared" si="0"/>
        <v>2000</v>
      </c>
      <c r="W11" s="68">
        <f t="shared" si="0"/>
        <v>0</v>
      </c>
      <c r="X11" s="68">
        <f t="shared" si="0"/>
        <v>0</v>
      </c>
      <c r="Y11" s="68">
        <f t="shared" si="0"/>
        <v>0</v>
      </c>
      <c r="Z11" s="68">
        <f>SUM(U11:Y11)</f>
        <v>4000</v>
      </c>
    </row>
    <row r="12" spans="1:26" ht="15.75" x14ac:dyDescent="0.5">
      <c r="A12" s="40" t="s">
        <v>49</v>
      </c>
      <c r="B12" s="60">
        <v>400000</v>
      </c>
      <c r="C12" s="40" t="s">
        <v>125</v>
      </c>
      <c r="D12" s="222">
        <f>'Table C'!F14</f>
        <v>5.4099999999999999E-3</v>
      </c>
      <c r="E12" s="220" t="s">
        <v>144</v>
      </c>
      <c r="F12" s="13"/>
      <c r="G12" s="222">
        <f>'Table C'!L14</f>
        <v>5.7200000000000003E-3</v>
      </c>
      <c r="H12" s="220" t="s">
        <v>144</v>
      </c>
      <c r="I12" s="40"/>
      <c r="L12" s="68">
        <v>6000</v>
      </c>
      <c r="M12" s="68">
        <v>2000</v>
      </c>
      <c r="N12" s="68">
        <f>L12-M12</f>
        <v>4000</v>
      </c>
      <c r="O12" s="68">
        <f>L12-M12-N12</f>
        <v>0</v>
      </c>
      <c r="R12" s="68">
        <f t="shared" ref="R12:R19" si="2">SUM(M12:Q12)</f>
        <v>6000</v>
      </c>
      <c r="T12" s="68">
        <v>6000</v>
      </c>
      <c r="U12" s="68">
        <f t="shared" si="1"/>
        <v>2000</v>
      </c>
      <c r="V12" s="68">
        <f t="shared" si="0"/>
        <v>4000</v>
      </c>
      <c r="W12" s="68">
        <f t="shared" si="0"/>
        <v>0</v>
      </c>
      <c r="X12" s="68">
        <f t="shared" si="0"/>
        <v>0</v>
      </c>
      <c r="Y12" s="68">
        <f t="shared" si="0"/>
        <v>0</v>
      </c>
      <c r="Z12" s="68">
        <f t="shared" ref="Z12:Z19" si="3">SUM(U12:Y12)</f>
        <v>6000</v>
      </c>
    </row>
    <row r="13" spans="1:26" ht="15.75" x14ac:dyDescent="0.5">
      <c r="A13" s="40" t="s">
        <v>76</v>
      </c>
      <c r="B13" s="60">
        <f>SUM(B9:B12)</f>
        <v>600000</v>
      </c>
      <c r="C13" s="40" t="s">
        <v>125</v>
      </c>
      <c r="D13" s="222">
        <f>'Table C'!F15</f>
        <v>4.0099999999999997E-3</v>
      </c>
      <c r="E13" s="220" t="s">
        <v>144</v>
      </c>
      <c r="F13" s="13"/>
      <c r="G13" s="222">
        <f>'Table C'!L15</f>
        <v>4.2399999999999998E-3</v>
      </c>
      <c r="H13" s="220" t="s">
        <v>144</v>
      </c>
      <c r="I13" s="40"/>
      <c r="L13" s="68">
        <v>8000</v>
      </c>
      <c r="M13" s="68">
        <v>2000</v>
      </c>
      <c r="N13" s="68">
        <f>L13-M13</f>
        <v>6000</v>
      </c>
      <c r="O13" s="68">
        <f>L13-M13-N13</f>
        <v>0</v>
      </c>
      <c r="R13" s="68">
        <f t="shared" si="2"/>
        <v>8000</v>
      </c>
      <c r="T13" s="68">
        <v>8000</v>
      </c>
      <c r="U13" s="68">
        <f t="shared" si="1"/>
        <v>2000</v>
      </c>
      <c r="V13" s="68">
        <f t="shared" si="0"/>
        <v>6000</v>
      </c>
      <c r="W13" s="68">
        <f t="shared" si="0"/>
        <v>0</v>
      </c>
      <c r="X13" s="68">
        <f t="shared" si="0"/>
        <v>0</v>
      </c>
      <c r="Y13" s="68">
        <f t="shared" si="0"/>
        <v>0</v>
      </c>
      <c r="Z13" s="68">
        <f t="shared" si="3"/>
        <v>8000</v>
      </c>
    </row>
    <row r="14" spans="1:26" x14ac:dyDescent="0.4">
      <c r="E14" s="342"/>
      <c r="F14" s="40"/>
      <c r="L14" s="68">
        <v>10000</v>
      </c>
      <c r="M14" s="68">
        <v>2000</v>
      </c>
      <c r="N14" s="68">
        <v>8000</v>
      </c>
      <c r="O14" s="68">
        <f>L14-M14-N14</f>
        <v>0</v>
      </c>
      <c r="R14" s="68">
        <f t="shared" si="2"/>
        <v>10000</v>
      </c>
      <c r="T14" s="68">
        <v>10000</v>
      </c>
      <c r="U14" s="68">
        <f t="shared" si="1"/>
        <v>2000</v>
      </c>
      <c r="V14" s="68">
        <f t="shared" si="0"/>
        <v>8000</v>
      </c>
      <c r="W14" s="68">
        <f t="shared" si="0"/>
        <v>0</v>
      </c>
      <c r="X14" s="68">
        <f t="shared" si="0"/>
        <v>0</v>
      </c>
      <c r="Y14" s="68">
        <f t="shared" si="0"/>
        <v>0</v>
      </c>
      <c r="Z14" s="68">
        <f t="shared" si="3"/>
        <v>10000</v>
      </c>
    </row>
    <row r="15" spans="1:26" x14ac:dyDescent="0.4">
      <c r="E15" s="342"/>
      <c r="F15" s="40"/>
      <c r="L15" s="68">
        <v>12000</v>
      </c>
      <c r="M15" s="68">
        <v>2000</v>
      </c>
      <c r="N15" s="68">
        <v>8000</v>
      </c>
      <c r="O15" s="68">
        <f>L15-M15-N15</f>
        <v>2000</v>
      </c>
      <c r="P15" s="68">
        <f>L15-M15-N15-O15</f>
        <v>0</v>
      </c>
      <c r="R15" s="68">
        <f t="shared" si="2"/>
        <v>12000</v>
      </c>
      <c r="T15" s="68">
        <v>12000</v>
      </c>
      <c r="U15" s="68">
        <f t="shared" si="1"/>
        <v>2000</v>
      </c>
      <c r="V15" s="68">
        <f t="shared" si="0"/>
        <v>8000</v>
      </c>
      <c r="W15" s="68">
        <f t="shared" si="0"/>
        <v>2000</v>
      </c>
      <c r="X15" s="68">
        <f t="shared" si="0"/>
        <v>0</v>
      </c>
      <c r="Y15" s="68">
        <f t="shared" si="0"/>
        <v>0</v>
      </c>
      <c r="Z15" s="68">
        <f t="shared" si="3"/>
        <v>12000</v>
      </c>
    </row>
    <row r="16" spans="1:26" x14ac:dyDescent="0.4">
      <c r="E16" s="342"/>
      <c r="F16" s="40"/>
      <c r="L16" s="68">
        <v>14000</v>
      </c>
      <c r="M16" s="68">
        <v>2000</v>
      </c>
      <c r="N16" s="68">
        <v>8000</v>
      </c>
      <c r="O16" s="68">
        <f t="shared" ref="O16:O19" si="4">L16-M16-N16</f>
        <v>4000</v>
      </c>
      <c r="P16" s="68">
        <f>L16-M16-N16-O16</f>
        <v>0</v>
      </c>
      <c r="R16" s="68">
        <f t="shared" si="2"/>
        <v>14000</v>
      </c>
      <c r="T16" s="68">
        <v>14000</v>
      </c>
      <c r="U16" s="68">
        <f t="shared" si="1"/>
        <v>2000</v>
      </c>
      <c r="V16" s="68">
        <f t="shared" si="0"/>
        <v>8000</v>
      </c>
      <c r="W16" s="68">
        <f t="shared" si="0"/>
        <v>4000</v>
      </c>
      <c r="X16" s="68">
        <f t="shared" si="0"/>
        <v>0</v>
      </c>
      <c r="Y16" s="68">
        <f t="shared" si="0"/>
        <v>0</v>
      </c>
      <c r="Z16" s="68">
        <f t="shared" si="3"/>
        <v>14000</v>
      </c>
    </row>
    <row r="17" spans="5:26" x14ac:dyDescent="0.4">
      <c r="E17" s="342"/>
      <c r="F17" s="40"/>
      <c r="L17" s="68">
        <v>16000</v>
      </c>
      <c r="M17" s="68">
        <v>2000</v>
      </c>
      <c r="N17" s="68">
        <v>8000</v>
      </c>
      <c r="O17" s="68">
        <f t="shared" si="4"/>
        <v>6000</v>
      </c>
      <c r="P17" s="68">
        <f>L17-M17-N17-O17</f>
        <v>0</v>
      </c>
      <c r="R17" s="68">
        <f t="shared" si="2"/>
        <v>16000</v>
      </c>
      <c r="T17" s="68">
        <v>16000</v>
      </c>
      <c r="U17" s="68">
        <f t="shared" si="1"/>
        <v>2000</v>
      </c>
      <c r="V17" s="68">
        <f t="shared" si="0"/>
        <v>8000</v>
      </c>
      <c r="W17" s="68">
        <f t="shared" si="0"/>
        <v>6000</v>
      </c>
      <c r="X17" s="68">
        <f t="shared" si="0"/>
        <v>0</v>
      </c>
      <c r="Y17" s="68">
        <f t="shared" si="0"/>
        <v>0</v>
      </c>
      <c r="Z17" s="68">
        <f t="shared" si="3"/>
        <v>16000</v>
      </c>
    </row>
    <row r="18" spans="5:26" x14ac:dyDescent="0.4">
      <c r="E18" s="342"/>
      <c r="F18" s="40"/>
      <c r="L18" s="68">
        <v>18000</v>
      </c>
      <c r="M18" s="68">
        <v>2000</v>
      </c>
      <c r="N18" s="68">
        <v>8000</v>
      </c>
      <c r="O18" s="68">
        <f t="shared" si="4"/>
        <v>8000</v>
      </c>
      <c r="P18" s="68">
        <f t="shared" ref="P18:P19" si="5">L18-M18-N18-O18</f>
        <v>0</v>
      </c>
      <c r="Q18" s="68">
        <f>L18-M18-N18-O18-P18</f>
        <v>0</v>
      </c>
      <c r="R18" s="68">
        <f t="shared" si="2"/>
        <v>18000</v>
      </c>
      <c r="T18" s="68">
        <v>18000</v>
      </c>
      <c r="U18" s="68">
        <f t="shared" si="1"/>
        <v>2000</v>
      </c>
      <c r="V18" s="68">
        <f t="shared" si="0"/>
        <v>8000</v>
      </c>
      <c r="W18" s="68">
        <f t="shared" si="0"/>
        <v>8000</v>
      </c>
      <c r="X18" s="68">
        <f t="shared" si="0"/>
        <v>0</v>
      </c>
      <c r="Y18" s="68">
        <f t="shared" si="0"/>
        <v>0</v>
      </c>
      <c r="Z18" s="68">
        <f t="shared" si="3"/>
        <v>18000</v>
      </c>
    </row>
    <row r="19" spans="5:26" x14ac:dyDescent="0.4">
      <c r="E19" s="342"/>
      <c r="F19" s="40"/>
      <c r="L19" s="68">
        <v>20000</v>
      </c>
      <c r="M19" s="68">
        <v>2000</v>
      </c>
      <c r="N19" s="68">
        <v>8000</v>
      </c>
      <c r="O19" s="68">
        <f t="shared" si="4"/>
        <v>10000</v>
      </c>
      <c r="P19" s="68">
        <f t="shared" si="5"/>
        <v>0</v>
      </c>
      <c r="Q19" s="68">
        <f>+L19-M19-N19-O19-P19</f>
        <v>0</v>
      </c>
      <c r="R19" s="68">
        <f t="shared" si="2"/>
        <v>20000</v>
      </c>
      <c r="T19" s="68">
        <v>20000</v>
      </c>
      <c r="U19" s="68">
        <f t="shared" si="1"/>
        <v>2000</v>
      </c>
      <c r="V19" s="68">
        <f t="shared" si="0"/>
        <v>8000</v>
      </c>
      <c r="W19" s="68">
        <f t="shared" si="0"/>
        <v>10000</v>
      </c>
      <c r="X19" s="68">
        <f t="shared" si="0"/>
        <v>0</v>
      </c>
      <c r="Y19" s="68">
        <f t="shared" si="0"/>
        <v>0</v>
      </c>
      <c r="Z19" s="68">
        <f t="shared" si="3"/>
        <v>20000</v>
      </c>
    </row>
    <row r="20" spans="5:26" x14ac:dyDescent="0.4">
      <c r="E20" s="342"/>
      <c r="F20" s="40"/>
    </row>
    <row r="21" spans="5:26" x14ac:dyDescent="0.4">
      <c r="E21" s="342"/>
      <c r="F21" s="40"/>
      <c r="L21" s="68">
        <v>2000</v>
      </c>
      <c r="M21" s="59">
        <f>M9</f>
        <v>17.84</v>
      </c>
      <c r="N21" s="59"/>
      <c r="O21" s="59"/>
      <c r="P21" s="59"/>
      <c r="Q21" s="59"/>
      <c r="R21" s="59">
        <f>SUM(M21:Q21)</f>
        <v>17.84</v>
      </c>
      <c r="T21" s="68">
        <v>2000</v>
      </c>
      <c r="U21" s="59">
        <f>U9</f>
        <v>18.88</v>
      </c>
      <c r="V21" s="59"/>
      <c r="W21" s="59"/>
      <c r="X21" s="59"/>
      <c r="Y21" s="59"/>
      <c r="Z21" s="59">
        <f>SUM(U21:Y21)</f>
        <v>18.88</v>
      </c>
    </row>
    <row r="22" spans="5:26" x14ac:dyDescent="0.4">
      <c r="E22" s="342"/>
      <c r="F22" s="40"/>
      <c r="L22" s="68">
        <v>4000</v>
      </c>
      <c r="M22" s="59">
        <f>M21</f>
        <v>17.84</v>
      </c>
      <c r="N22" s="59">
        <f>N11*N$9</f>
        <v>12.9</v>
      </c>
      <c r="O22" s="59"/>
      <c r="P22" s="59"/>
      <c r="Q22" s="59"/>
      <c r="R22" s="59">
        <f t="shared" ref="R22:R30" si="6">SUM(M22:Q22)</f>
        <v>30.740000000000002</v>
      </c>
      <c r="T22" s="68">
        <v>4000</v>
      </c>
      <c r="U22" s="59">
        <f>U21</f>
        <v>18.88</v>
      </c>
      <c r="V22" s="59">
        <f>V11*V$9</f>
        <v>13.639999999999999</v>
      </c>
      <c r="W22" s="59"/>
      <c r="X22" s="59"/>
      <c r="Y22" s="59"/>
      <c r="Z22" s="59">
        <f t="shared" ref="Z22:Z30" si="7">SUM(U22:Y22)</f>
        <v>32.519999999999996</v>
      </c>
    </row>
    <row r="23" spans="5:26" x14ac:dyDescent="0.4">
      <c r="E23" s="342"/>
      <c r="F23" s="40"/>
      <c r="L23" s="68">
        <v>6000</v>
      </c>
      <c r="M23" s="59">
        <f t="shared" ref="M23:M30" si="8">M22</f>
        <v>17.84</v>
      </c>
      <c r="N23" s="59">
        <f t="shared" ref="N23:Q30" si="9">N12*N$9</f>
        <v>25.8</v>
      </c>
      <c r="O23" s="59">
        <f t="shared" si="9"/>
        <v>0</v>
      </c>
      <c r="P23" s="59"/>
      <c r="Q23" s="59"/>
      <c r="R23" s="59">
        <f t="shared" si="6"/>
        <v>43.64</v>
      </c>
      <c r="T23" s="68">
        <v>6000</v>
      </c>
      <c r="U23" s="59">
        <f t="shared" ref="U23:U30" si="10">U22</f>
        <v>18.88</v>
      </c>
      <c r="V23" s="59">
        <f t="shared" ref="V23:Y30" si="11">V12*V$9</f>
        <v>27.279999999999998</v>
      </c>
      <c r="W23" s="59">
        <f t="shared" si="11"/>
        <v>0</v>
      </c>
      <c r="X23" s="59"/>
      <c r="Y23" s="59"/>
      <c r="Z23" s="59">
        <f t="shared" si="7"/>
        <v>46.16</v>
      </c>
    </row>
    <row r="24" spans="5:26" x14ac:dyDescent="0.4">
      <c r="E24" s="342"/>
      <c r="F24" s="40"/>
      <c r="L24" s="68">
        <v>8000</v>
      </c>
      <c r="M24" s="59">
        <f t="shared" si="8"/>
        <v>17.84</v>
      </c>
      <c r="N24" s="59">
        <f t="shared" si="9"/>
        <v>38.700000000000003</v>
      </c>
      <c r="O24" s="59">
        <f t="shared" si="9"/>
        <v>0</v>
      </c>
      <c r="P24" s="59"/>
      <c r="Q24" s="59"/>
      <c r="R24" s="59">
        <f t="shared" si="6"/>
        <v>56.540000000000006</v>
      </c>
      <c r="T24" s="68">
        <v>8000</v>
      </c>
      <c r="U24" s="59">
        <f t="shared" si="10"/>
        <v>18.88</v>
      </c>
      <c r="V24" s="59">
        <f t="shared" si="11"/>
        <v>40.919999999999995</v>
      </c>
      <c r="W24" s="59">
        <f t="shared" si="11"/>
        <v>0</v>
      </c>
      <c r="X24" s="59"/>
      <c r="Y24" s="59"/>
      <c r="Z24" s="59">
        <f t="shared" si="7"/>
        <v>59.8</v>
      </c>
    </row>
    <row r="25" spans="5:26" x14ac:dyDescent="0.4">
      <c r="E25" s="342"/>
      <c r="F25" s="40"/>
      <c r="L25" s="68">
        <v>10000</v>
      </c>
      <c r="M25" s="59">
        <f t="shared" si="8"/>
        <v>17.84</v>
      </c>
      <c r="N25" s="59">
        <f t="shared" si="9"/>
        <v>51.6</v>
      </c>
      <c r="O25" s="59">
        <f t="shared" si="9"/>
        <v>0</v>
      </c>
      <c r="P25" s="59"/>
      <c r="Q25" s="59"/>
      <c r="R25" s="59">
        <f t="shared" si="6"/>
        <v>69.44</v>
      </c>
      <c r="T25" s="68">
        <v>10000</v>
      </c>
      <c r="U25" s="59">
        <f t="shared" si="10"/>
        <v>18.88</v>
      </c>
      <c r="V25" s="59">
        <f t="shared" si="11"/>
        <v>54.559999999999995</v>
      </c>
      <c r="W25" s="59">
        <f t="shared" si="11"/>
        <v>0</v>
      </c>
      <c r="X25" s="59"/>
      <c r="Y25" s="59"/>
      <c r="Z25" s="59">
        <f t="shared" si="7"/>
        <v>73.44</v>
      </c>
    </row>
    <row r="26" spans="5:26" x14ac:dyDescent="0.4">
      <c r="E26" s="342"/>
      <c r="F26" s="40"/>
      <c r="L26" s="68">
        <v>12000</v>
      </c>
      <c r="M26" s="59">
        <f t="shared" si="8"/>
        <v>17.84</v>
      </c>
      <c r="N26" s="59">
        <f t="shared" si="9"/>
        <v>51.6</v>
      </c>
      <c r="O26" s="59">
        <f t="shared" si="9"/>
        <v>11.56</v>
      </c>
      <c r="P26" s="59">
        <f t="shared" si="9"/>
        <v>0</v>
      </c>
      <c r="Q26" s="59"/>
      <c r="R26" s="59">
        <f t="shared" si="6"/>
        <v>81</v>
      </c>
      <c r="T26" s="68">
        <v>12000</v>
      </c>
      <c r="U26" s="59">
        <f t="shared" si="10"/>
        <v>18.88</v>
      </c>
      <c r="V26" s="59">
        <f t="shared" si="11"/>
        <v>54.559999999999995</v>
      </c>
      <c r="W26" s="59">
        <f t="shared" si="11"/>
        <v>12.24</v>
      </c>
      <c r="X26" s="59">
        <f t="shared" si="11"/>
        <v>0</v>
      </c>
      <c r="Y26" s="59"/>
      <c r="Z26" s="59">
        <f t="shared" si="7"/>
        <v>85.679999999999993</v>
      </c>
    </row>
    <row r="27" spans="5:26" x14ac:dyDescent="0.4">
      <c r="E27" s="342"/>
      <c r="F27" s="40"/>
      <c r="L27" s="68">
        <v>14000</v>
      </c>
      <c r="M27" s="59">
        <f t="shared" si="8"/>
        <v>17.84</v>
      </c>
      <c r="N27" s="59">
        <f t="shared" si="9"/>
        <v>51.6</v>
      </c>
      <c r="O27" s="59">
        <f t="shared" si="9"/>
        <v>23.12</v>
      </c>
      <c r="P27" s="59">
        <f t="shared" si="9"/>
        <v>0</v>
      </c>
      <c r="Q27" s="59"/>
      <c r="R27" s="59">
        <f t="shared" si="6"/>
        <v>92.56</v>
      </c>
      <c r="T27" s="68">
        <v>14000</v>
      </c>
      <c r="U27" s="59">
        <f t="shared" si="10"/>
        <v>18.88</v>
      </c>
      <c r="V27" s="59">
        <f t="shared" si="11"/>
        <v>54.559999999999995</v>
      </c>
      <c r="W27" s="59">
        <f t="shared" si="11"/>
        <v>24.48</v>
      </c>
      <c r="X27" s="59">
        <f t="shared" si="11"/>
        <v>0</v>
      </c>
      <c r="Y27" s="59"/>
      <c r="Z27" s="59">
        <f t="shared" si="7"/>
        <v>97.92</v>
      </c>
    </row>
    <row r="28" spans="5:26" x14ac:dyDescent="0.4">
      <c r="E28" s="342"/>
      <c r="F28" s="40"/>
      <c r="L28" s="68">
        <v>16000</v>
      </c>
      <c r="M28" s="59">
        <f t="shared" si="8"/>
        <v>17.84</v>
      </c>
      <c r="N28" s="59">
        <f t="shared" si="9"/>
        <v>51.6</v>
      </c>
      <c r="O28" s="59">
        <f t="shared" si="9"/>
        <v>34.68</v>
      </c>
      <c r="P28" s="59">
        <f t="shared" si="9"/>
        <v>0</v>
      </c>
      <c r="Q28" s="59"/>
      <c r="R28" s="59">
        <f t="shared" si="6"/>
        <v>104.12</v>
      </c>
      <c r="T28" s="68">
        <v>16000</v>
      </c>
      <c r="U28" s="59">
        <f t="shared" si="10"/>
        <v>18.88</v>
      </c>
      <c r="V28" s="59">
        <f t="shared" si="11"/>
        <v>54.559999999999995</v>
      </c>
      <c r="W28" s="59">
        <f t="shared" si="11"/>
        <v>36.720000000000006</v>
      </c>
      <c r="X28" s="59">
        <f t="shared" si="11"/>
        <v>0</v>
      </c>
      <c r="Y28" s="59"/>
      <c r="Z28" s="59">
        <f t="shared" si="7"/>
        <v>110.16</v>
      </c>
    </row>
    <row r="29" spans="5:26" x14ac:dyDescent="0.4">
      <c r="E29" s="342"/>
      <c r="F29" s="40"/>
      <c r="L29" s="68">
        <v>18000</v>
      </c>
      <c r="M29" s="59">
        <f t="shared" si="8"/>
        <v>17.84</v>
      </c>
      <c r="N29" s="59">
        <f t="shared" si="9"/>
        <v>51.6</v>
      </c>
      <c r="O29" s="59">
        <f t="shared" si="9"/>
        <v>46.24</v>
      </c>
      <c r="P29" s="59">
        <f t="shared" si="9"/>
        <v>0</v>
      </c>
      <c r="Q29" s="59">
        <f t="shared" si="9"/>
        <v>0</v>
      </c>
      <c r="R29" s="59">
        <f t="shared" si="6"/>
        <v>115.68</v>
      </c>
      <c r="T29" s="68">
        <v>18000</v>
      </c>
      <c r="U29" s="59">
        <f t="shared" si="10"/>
        <v>18.88</v>
      </c>
      <c r="V29" s="59">
        <f t="shared" si="11"/>
        <v>54.559999999999995</v>
      </c>
      <c r="W29" s="59">
        <f t="shared" si="11"/>
        <v>48.96</v>
      </c>
      <c r="X29" s="59">
        <f t="shared" si="11"/>
        <v>0</v>
      </c>
      <c r="Y29" s="59">
        <f t="shared" si="11"/>
        <v>0</v>
      </c>
      <c r="Z29" s="59">
        <f t="shared" si="7"/>
        <v>122.4</v>
      </c>
    </row>
    <row r="30" spans="5:26" x14ac:dyDescent="0.4">
      <c r="E30" s="342"/>
      <c r="F30" s="40"/>
      <c r="L30" s="68">
        <v>20000</v>
      </c>
      <c r="M30" s="59">
        <f t="shared" si="8"/>
        <v>17.84</v>
      </c>
      <c r="N30" s="59">
        <f t="shared" si="9"/>
        <v>51.6</v>
      </c>
      <c r="O30" s="59">
        <f t="shared" si="9"/>
        <v>57.800000000000004</v>
      </c>
      <c r="P30" s="59">
        <f t="shared" si="9"/>
        <v>0</v>
      </c>
      <c r="Q30" s="59">
        <f t="shared" si="9"/>
        <v>0</v>
      </c>
      <c r="R30" s="59">
        <f t="shared" si="6"/>
        <v>127.24000000000001</v>
      </c>
      <c r="T30" s="68">
        <v>20000</v>
      </c>
      <c r="U30" s="59">
        <f t="shared" si="10"/>
        <v>18.88</v>
      </c>
      <c r="V30" s="59">
        <f t="shared" si="11"/>
        <v>54.559999999999995</v>
      </c>
      <c r="W30" s="59">
        <f t="shared" si="11"/>
        <v>61.2</v>
      </c>
      <c r="X30" s="59">
        <f t="shared" si="11"/>
        <v>0</v>
      </c>
      <c r="Y30" s="59">
        <f t="shared" si="11"/>
        <v>0</v>
      </c>
      <c r="Z30" s="59">
        <f t="shared" si="7"/>
        <v>134.63999999999999</v>
      </c>
    </row>
    <row r="31" spans="5:26" x14ac:dyDescent="0.4">
      <c r="E31" s="342"/>
      <c r="F31" s="40"/>
    </row>
    <row r="32" spans="5:26" x14ac:dyDescent="0.4">
      <c r="E32" s="342"/>
      <c r="F32" s="40"/>
    </row>
  </sheetData>
  <mergeCells count="2">
    <mergeCell ref="L7:R7"/>
    <mergeCell ref="T7:Z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E101C-0876-4B01-8B72-E1E752245846}">
  <dimension ref="A1:AO117"/>
  <sheetViews>
    <sheetView topLeftCell="A8" workbookViewId="0">
      <selection activeCell="AO77" sqref="AO77:AO80"/>
    </sheetView>
  </sheetViews>
  <sheetFormatPr defaultColWidth="6.88671875" defaultRowHeight="13.15" x14ac:dyDescent="0.4"/>
  <cols>
    <col min="1" max="1" width="8.109375" style="250" customWidth="1"/>
    <col min="2" max="2" width="9.77734375" style="250" customWidth="1"/>
    <col min="3" max="3" width="35.77734375" style="250" customWidth="1"/>
    <col min="4" max="6" width="8.77734375" style="251" customWidth="1"/>
    <col min="7" max="8" width="9.88671875" style="252" bestFit="1" customWidth="1"/>
    <col min="9" max="9" width="8.33203125" style="252" bestFit="1" customWidth="1"/>
    <col min="10" max="10" width="9.109375" style="252" bestFit="1" customWidth="1"/>
    <col min="11" max="11" width="8.21875" style="252" customWidth="1"/>
    <col min="12" max="12" width="9.88671875" style="252" bestFit="1" customWidth="1"/>
    <col min="13" max="13" width="3.33203125" style="252" customWidth="1"/>
    <col min="14" max="14" width="8.33203125" style="252" customWidth="1"/>
    <col min="15" max="15" width="9.33203125" style="252" bestFit="1" customWidth="1"/>
    <col min="16" max="16" width="7.21875" style="252" customWidth="1"/>
    <col min="17" max="17" width="8.33203125" style="252" customWidth="1"/>
    <col min="18" max="18" width="7.5546875" style="251" bestFit="1" customWidth="1"/>
    <col min="19" max="19" width="9.88671875" style="251" bestFit="1" customWidth="1"/>
    <col min="20" max="20" width="2.5546875" style="251" customWidth="1"/>
    <col min="21" max="21" width="7.88671875" style="251" bestFit="1" customWidth="1"/>
    <col min="22" max="22" width="7.77734375" style="251" bestFit="1" customWidth="1"/>
    <col min="23" max="23" width="6.33203125" style="251" bestFit="1" customWidth="1"/>
    <col min="24" max="24" width="7.77734375" style="251" bestFit="1" customWidth="1"/>
    <col min="25" max="25" width="7" style="251" bestFit="1" customWidth="1"/>
    <col min="26" max="26" width="8.33203125" style="251" bestFit="1" customWidth="1"/>
    <col min="27" max="27" width="2.88671875" style="251" customWidth="1"/>
    <col min="28" max="28" width="7.88671875" style="251" bestFit="1" customWidth="1"/>
    <col min="29" max="29" width="9.33203125" style="251" bestFit="1" customWidth="1"/>
    <col min="30" max="30" width="7.5546875" style="251" bestFit="1" customWidth="1"/>
    <col min="31" max="31" width="8.5546875" style="251" bestFit="1" customWidth="1"/>
    <col min="32" max="32" width="7.88671875" style="251" bestFit="1" customWidth="1"/>
    <col min="33" max="33" width="9.88671875" style="251" bestFit="1" customWidth="1"/>
    <col min="34" max="34" width="8.6640625" style="251" bestFit="1" customWidth="1"/>
    <col min="35" max="37" width="6.88671875" style="251"/>
    <col min="38" max="41" width="12.77734375" style="319" customWidth="1"/>
    <col min="42" max="16384" width="6.88671875" style="251"/>
  </cols>
  <sheetData>
    <row r="1" spans="1:41" ht="17.45" customHeight="1" x14ac:dyDescent="0.4">
      <c r="A1" s="249" t="s">
        <v>167</v>
      </c>
    </row>
    <row r="2" spans="1:41" ht="17.45" customHeight="1" x14ac:dyDescent="0.4">
      <c r="A2" s="250" t="s">
        <v>168</v>
      </c>
    </row>
    <row r="3" spans="1:41" ht="17.45" customHeight="1" x14ac:dyDescent="0.4">
      <c r="A3" s="253" t="s">
        <v>368</v>
      </c>
      <c r="B3" s="254"/>
    </row>
    <row r="5" spans="1:41" ht="17.45" customHeight="1" x14ac:dyDescent="0.4">
      <c r="D5" s="255"/>
      <c r="E5" s="307">
        <v>45334</v>
      </c>
      <c r="F5" s="256" t="s">
        <v>169</v>
      </c>
      <c r="G5" s="454" t="s">
        <v>170</v>
      </c>
      <c r="H5" s="454"/>
      <c r="I5" s="454"/>
      <c r="J5" s="454"/>
      <c r="K5" s="454"/>
      <c r="L5" s="454"/>
      <c r="N5" s="454" t="s">
        <v>171</v>
      </c>
      <c r="O5" s="454"/>
      <c r="P5" s="454"/>
      <c r="Q5" s="454"/>
      <c r="R5" s="454"/>
      <c r="S5" s="454"/>
      <c r="T5" s="257"/>
      <c r="U5" s="454" t="s">
        <v>172</v>
      </c>
      <c r="V5" s="454"/>
      <c r="W5" s="454"/>
      <c r="X5" s="454"/>
      <c r="Y5" s="454"/>
      <c r="Z5" s="454"/>
      <c r="AB5" s="454" t="s">
        <v>173</v>
      </c>
      <c r="AC5" s="454"/>
      <c r="AD5" s="454"/>
      <c r="AE5" s="454"/>
      <c r="AF5" s="454"/>
      <c r="AG5" s="454"/>
      <c r="AJ5" s="254" t="s">
        <v>413</v>
      </c>
      <c r="AK5" s="254"/>
      <c r="AL5" s="455" t="s">
        <v>422</v>
      </c>
      <c r="AM5" s="455"/>
      <c r="AN5" s="455"/>
      <c r="AO5" s="321" t="s">
        <v>425</v>
      </c>
    </row>
    <row r="6" spans="1:41" s="257" customFormat="1" ht="17.45" customHeight="1" x14ac:dyDescent="0.4">
      <c r="A6" s="258" t="s">
        <v>174</v>
      </c>
      <c r="B6" s="258" t="s">
        <v>175</v>
      </c>
      <c r="C6" s="259" t="s">
        <v>176</v>
      </c>
      <c r="D6" s="258" t="s">
        <v>177</v>
      </c>
      <c r="E6" s="260" t="s">
        <v>67</v>
      </c>
      <c r="F6" s="261" t="s">
        <v>103</v>
      </c>
      <c r="G6" s="258" t="s">
        <v>178</v>
      </c>
      <c r="H6" s="262" t="s">
        <v>179</v>
      </c>
      <c r="I6" s="258" t="s">
        <v>180</v>
      </c>
      <c r="J6" s="262" t="s">
        <v>181</v>
      </c>
      <c r="K6" s="258" t="s">
        <v>182</v>
      </c>
      <c r="L6" s="262" t="s">
        <v>183</v>
      </c>
      <c r="M6" s="263"/>
      <c r="N6" s="258" t="s">
        <v>178</v>
      </c>
      <c r="O6" s="262" t="s">
        <v>179</v>
      </c>
      <c r="P6" s="258" t="s">
        <v>180</v>
      </c>
      <c r="Q6" s="262" t="s">
        <v>181</v>
      </c>
      <c r="R6" s="258" t="s">
        <v>182</v>
      </c>
      <c r="S6" s="262" t="s">
        <v>183</v>
      </c>
      <c r="T6" s="258"/>
      <c r="U6" s="258" t="s">
        <v>178</v>
      </c>
      <c r="V6" s="262" t="s">
        <v>179</v>
      </c>
      <c r="W6" s="258" t="s">
        <v>180</v>
      </c>
      <c r="X6" s="262" t="s">
        <v>181</v>
      </c>
      <c r="Y6" s="258" t="s">
        <v>182</v>
      </c>
      <c r="Z6" s="262" t="s">
        <v>183</v>
      </c>
      <c r="AB6" s="258" t="s">
        <v>178</v>
      </c>
      <c r="AC6" s="262" t="s">
        <v>179</v>
      </c>
      <c r="AD6" s="258" t="s">
        <v>180</v>
      </c>
      <c r="AE6" s="262" t="s">
        <v>181</v>
      </c>
      <c r="AF6" s="258" t="s">
        <v>182</v>
      </c>
      <c r="AG6" s="262" t="s">
        <v>183</v>
      </c>
      <c r="AI6" s="284" t="s">
        <v>414</v>
      </c>
      <c r="AJ6" s="284" t="s">
        <v>414</v>
      </c>
      <c r="AK6" s="284"/>
      <c r="AL6" s="322" t="s">
        <v>423</v>
      </c>
      <c r="AM6" s="322" t="s">
        <v>424</v>
      </c>
      <c r="AN6" s="322" t="s">
        <v>54</v>
      </c>
      <c r="AO6" s="320" t="s">
        <v>227</v>
      </c>
    </row>
    <row r="7" spans="1:41" ht="17.45" customHeight="1" x14ac:dyDescent="0.4">
      <c r="A7" s="264" t="s">
        <v>213</v>
      </c>
      <c r="B7" s="264">
        <v>70</v>
      </c>
      <c r="C7" s="250" t="s">
        <v>215</v>
      </c>
      <c r="D7" s="264" t="s">
        <v>185</v>
      </c>
      <c r="E7" s="264">
        <v>36.229999999999997</v>
      </c>
      <c r="F7" s="264" t="s">
        <v>98</v>
      </c>
      <c r="G7" s="263">
        <v>74.679839999999999</v>
      </c>
      <c r="H7" s="265">
        <f>IF($F7="H",ROUND($E7*G7,2),IF($F7="S",ROUND(($E7/80)*G7,2),1))</f>
        <v>2705.65</v>
      </c>
      <c r="I7" s="263">
        <v>4.3754399999999993</v>
      </c>
      <c r="J7" s="265">
        <f t="shared" ref="J7:J70" si="0">IF($F7="H",ROUND(($E7*1.5)*I7,2),IF($F7="S",ROUND(($E7/80)*I7,2),1))</f>
        <v>237.78</v>
      </c>
      <c r="K7" s="266">
        <f t="shared" ref="K7:L36" si="1">+G7+I7</f>
        <v>79.055279999999996</v>
      </c>
      <c r="L7" s="267">
        <f t="shared" si="1"/>
        <v>2943.4300000000003</v>
      </c>
      <c r="N7" s="263">
        <v>51.896159999999995</v>
      </c>
      <c r="O7" s="265">
        <f t="shared" ref="O7:O70" si="2">IF($F7="H",ROUND($E7*N7,2),IF($F7="S",ROUND(($E7/80)*N7,2),1))</f>
        <v>1880.2</v>
      </c>
      <c r="P7" s="263">
        <v>3.0405599999999997</v>
      </c>
      <c r="Q7" s="265">
        <f t="shared" ref="Q7:Q70" si="3">IF($F7="H",ROUND(($E7*1.5)*P7,2),IF($F7="S",ROUND(($E7/80)*P7,2),1))</f>
        <v>165.24</v>
      </c>
      <c r="R7" s="266">
        <f t="shared" ref="R7:S36" si="4">+N7+P7</f>
        <v>54.936719999999994</v>
      </c>
      <c r="S7" s="267">
        <f t="shared" si="4"/>
        <v>2045.44</v>
      </c>
      <c r="U7" s="263">
        <v>0</v>
      </c>
      <c r="V7" s="265">
        <f t="shared" ref="V7:V70" si="5">IF($F7="H",ROUND($E7*U7,2),IF($F7="S",ROUND(($E7/80)*U7,2),1))</f>
        <v>0</v>
      </c>
      <c r="W7" s="263">
        <v>0</v>
      </c>
      <c r="X7" s="265">
        <f t="shared" ref="X7:X70" si="6">IF($F7="H",ROUND(($E7*1.5)*W7,2),IF($F7="S",ROUND(($E7/80)*W7,2),1))</f>
        <v>0</v>
      </c>
      <c r="Y7" s="266">
        <f t="shared" ref="Y7:Z36" si="7">+U7+W7</f>
        <v>0</v>
      </c>
      <c r="Z7" s="267">
        <f t="shared" si="7"/>
        <v>0</v>
      </c>
      <c r="AB7" s="263">
        <f t="shared" ref="AB7:AF36" si="8">+G7+N7+U7</f>
        <v>126.57599999999999</v>
      </c>
      <c r="AC7" s="252">
        <f t="shared" si="8"/>
        <v>4585.8500000000004</v>
      </c>
      <c r="AD7" s="263">
        <f t="shared" si="8"/>
        <v>7.4159999999999986</v>
      </c>
      <c r="AE7" s="252">
        <f t="shared" si="8"/>
        <v>403.02</v>
      </c>
      <c r="AF7" s="266">
        <f t="shared" si="8"/>
        <v>133.99199999999999</v>
      </c>
      <c r="AG7" s="267">
        <f t="shared" ref="AG7:AG70" si="9">+L7+S7+Z7+AQ7</f>
        <v>4988.8700000000008</v>
      </c>
      <c r="AI7" s="252">
        <f>ROUND(AJ7/1.05,2)</f>
        <v>34.5</v>
      </c>
      <c r="AJ7" s="308">
        <v>36.229999999999997</v>
      </c>
      <c r="AK7" s="308"/>
      <c r="AL7" s="319">
        <f>G7</f>
        <v>74.679839999999999</v>
      </c>
      <c r="AM7" s="319">
        <f>I7</f>
        <v>4.3754399999999993</v>
      </c>
      <c r="AN7" s="319">
        <f>SUM(AL7:AM7)</f>
        <v>79.055279999999996</v>
      </c>
      <c r="AO7" s="319">
        <v>2080</v>
      </c>
    </row>
    <row r="8" spans="1:41" ht="17.45" customHeight="1" x14ac:dyDescent="0.4">
      <c r="A8" s="254" t="s">
        <v>213</v>
      </c>
      <c r="B8" s="254">
        <v>216</v>
      </c>
      <c r="C8" s="253" t="s">
        <v>415</v>
      </c>
      <c r="D8" s="264" t="s">
        <v>185</v>
      </c>
      <c r="E8" s="264">
        <v>27.23</v>
      </c>
      <c r="F8" s="264" t="s">
        <v>98</v>
      </c>
      <c r="G8" s="263">
        <v>10.343879999999999</v>
      </c>
      <c r="H8" s="265">
        <f t="shared" ref="H8:H71" si="10">IF($F8="H",ROUND($E8*G8,2),IF($F8="S",ROUND(($E8/80)*G8,2),1))</f>
        <v>281.66000000000003</v>
      </c>
      <c r="I8" s="263">
        <v>4.2479999999999997E-2</v>
      </c>
      <c r="J8" s="265">
        <f t="shared" si="0"/>
        <v>1.74</v>
      </c>
      <c r="K8" s="266">
        <f t="shared" si="1"/>
        <v>10.386359999999998</v>
      </c>
      <c r="L8" s="267">
        <f t="shared" si="1"/>
        <v>283.40000000000003</v>
      </c>
      <c r="N8" s="263">
        <v>7.1881199999999996</v>
      </c>
      <c r="O8" s="265">
        <f t="shared" si="2"/>
        <v>195.73</v>
      </c>
      <c r="P8" s="263">
        <v>2.9519999999999998E-2</v>
      </c>
      <c r="Q8" s="265">
        <f t="shared" si="3"/>
        <v>1.21</v>
      </c>
      <c r="R8" s="266">
        <f t="shared" si="4"/>
        <v>7.2176399999999994</v>
      </c>
      <c r="S8" s="267">
        <f t="shared" si="4"/>
        <v>196.94</v>
      </c>
      <c r="U8" s="263">
        <v>0</v>
      </c>
      <c r="V8" s="265">
        <f t="shared" si="5"/>
        <v>0</v>
      </c>
      <c r="W8" s="263">
        <v>0</v>
      </c>
      <c r="X8" s="265">
        <f t="shared" si="6"/>
        <v>0</v>
      </c>
      <c r="Y8" s="266">
        <f t="shared" si="7"/>
        <v>0</v>
      </c>
      <c r="Z8" s="267">
        <f t="shared" si="7"/>
        <v>0</v>
      </c>
      <c r="AB8" s="263">
        <f t="shared" si="8"/>
        <v>17.531999999999996</v>
      </c>
      <c r="AC8" s="252">
        <f t="shared" si="8"/>
        <v>477.39</v>
      </c>
      <c r="AD8" s="263">
        <f t="shared" si="8"/>
        <v>7.1999999999999995E-2</v>
      </c>
      <c r="AE8" s="252">
        <f t="shared" si="8"/>
        <v>2.95</v>
      </c>
      <c r="AF8" s="266">
        <f t="shared" si="8"/>
        <v>17.603999999999999</v>
      </c>
      <c r="AG8" s="267">
        <f t="shared" si="9"/>
        <v>480.34000000000003</v>
      </c>
      <c r="AI8" s="252">
        <f t="shared" ref="AI8:AI71" si="11">ROUND(AJ8/1.05,2)</f>
        <v>25.93</v>
      </c>
      <c r="AJ8" s="308">
        <v>27.23</v>
      </c>
      <c r="AK8" s="308"/>
      <c r="AL8" s="319">
        <f t="shared" ref="AL8:AL15" si="12">G8</f>
        <v>10.343879999999999</v>
      </c>
      <c r="AM8" s="319">
        <f t="shared" ref="AM8:AM15" si="13">I8</f>
        <v>4.2479999999999997E-2</v>
      </c>
      <c r="AN8" s="319">
        <f t="shared" ref="AN8:AN15" si="14">SUM(AL8:AM8)</f>
        <v>10.386359999999998</v>
      </c>
      <c r="AO8" s="319">
        <v>2080</v>
      </c>
    </row>
    <row r="9" spans="1:41" ht="17.45" customHeight="1" x14ac:dyDescent="0.4">
      <c r="A9" s="264" t="s">
        <v>213</v>
      </c>
      <c r="B9" s="264">
        <v>34</v>
      </c>
      <c r="C9" s="250" t="s">
        <v>214</v>
      </c>
      <c r="D9" s="264" t="s">
        <v>185</v>
      </c>
      <c r="E9" s="264">
        <v>41.8</v>
      </c>
      <c r="F9" s="264" t="s">
        <v>98</v>
      </c>
      <c r="G9" s="263">
        <v>71.727479999999986</v>
      </c>
      <c r="H9" s="265">
        <f t="shared" si="10"/>
        <v>2998.21</v>
      </c>
      <c r="I9" s="263">
        <v>4.6090799999999996</v>
      </c>
      <c r="J9" s="265">
        <f t="shared" si="0"/>
        <v>288.99</v>
      </c>
      <c r="K9" s="266">
        <f t="shared" si="1"/>
        <v>76.336559999999992</v>
      </c>
      <c r="L9" s="267">
        <f t="shared" si="1"/>
        <v>3287.2</v>
      </c>
      <c r="N9" s="263">
        <v>49.844519999999996</v>
      </c>
      <c r="O9" s="265">
        <f t="shared" si="2"/>
        <v>2083.5</v>
      </c>
      <c r="P9" s="263">
        <v>3.2029199999999998</v>
      </c>
      <c r="Q9" s="265">
        <f t="shared" si="3"/>
        <v>200.82</v>
      </c>
      <c r="R9" s="266">
        <f t="shared" si="4"/>
        <v>53.047439999999995</v>
      </c>
      <c r="S9" s="267">
        <f t="shared" si="4"/>
        <v>2284.3200000000002</v>
      </c>
      <c r="U9" s="263">
        <v>0</v>
      </c>
      <c r="V9" s="265">
        <f t="shared" si="5"/>
        <v>0</v>
      </c>
      <c r="W9" s="263">
        <v>0</v>
      </c>
      <c r="X9" s="265">
        <f t="shared" si="6"/>
        <v>0</v>
      </c>
      <c r="Y9" s="266">
        <f t="shared" si="7"/>
        <v>0</v>
      </c>
      <c r="Z9" s="267">
        <f t="shared" si="7"/>
        <v>0</v>
      </c>
      <c r="AB9" s="263">
        <f t="shared" si="8"/>
        <v>121.57199999999997</v>
      </c>
      <c r="AC9" s="252">
        <f t="shared" si="8"/>
        <v>5081.71</v>
      </c>
      <c r="AD9" s="263">
        <f t="shared" si="8"/>
        <v>7.8119999999999994</v>
      </c>
      <c r="AE9" s="252">
        <f t="shared" si="8"/>
        <v>489.81</v>
      </c>
      <c r="AF9" s="266">
        <f t="shared" si="8"/>
        <v>129.38399999999999</v>
      </c>
      <c r="AG9" s="267">
        <f t="shared" si="9"/>
        <v>5571.52</v>
      </c>
      <c r="AI9" s="252">
        <f t="shared" si="11"/>
        <v>39.81</v>
      </c>
      <c r="AJ9" s="308">
        <v>41.8</v>
      </c>
      <c r="AK9" s="308"/>
      <c r="AL9" s="319">
        <f t="shared" si="12"/>
        <v>71.727479999999986</v>
      </c>
      <c r="AM9" s="319">
        <f t="shared" si="13"/>
        <v>4.6090799999999996</v>
      </c>
      <c r="AN9" s="319">
        <f t="shared" si="14"/>
        <v>76.336559999999992</v>
      </c>
      <c r="AO9" s="319">
        <v>2080</v>
      </c>
    </row>
    <row r="10" spans="1:41" ht="17.45" customHeight="1" x14ac:dyDescent="0.4">
      <c r="A10" s="264" t="s">
        <v>213</v>
      </c>
      <c r="B10" s="264">
        <v>131</v>
      </c>
      <c r="C10" s="250" t="s">
        <v>216</v>
      </c>
      <c r="D10" s="264" t="s">
        <v>185</v>
      </c>
      <c r="E10" s="264">
        <v>41.7</v>
      </c>
      <c r="F10" s="264" t="s">
        <v>98</v>
      </c>
      <c r="G10" s="263">
        <v>76.591439999999992</v>
      </c>
      <c r="H10" s="265">
        <f t="shared" si="10"/>
        <v>3193.86</v>
      </c>
      <c r="I10" s="263">
        <v>4.2904799999999996</v>
      </c>
      <c r="J10" s="265">
        <f t="shared" si="0"/>
        <v>268.37</v>
      </c>
      <c r="K10" s="266">
        <f t="shared" si="1"/>
        <v>80.881919999999994</v>
      </c>
      <c r="L10" s="267">
        <f t="shared" si="1"/>
        <v>3462.23</v>
      </c>
      <c r="N10" s="263">
        <v>53.224559999999997</v>
      </c>
      <c r="O10" s="265">
        <f t="shared" si="2"/>
        <v>2219.46</v>
      </c>
      <c r="P10" s="263">
        <v>2.9815199999999997</v>
      </c>
      <c r="Q10" s="265">
        <f t="shared" si="3"/>
        <v>186.49</v>
      </c>
      <c r="R10" s="266">
        <f t="shared" si="4"/>
        <v>56.20608</v>
      </c>
      <c r="S10" s="267">
        <f t="shared" si="4"/>
        <v>2405.9499999999998</v>
      </c>
      <c r="U10" s="263">
        <v>0</v>
      </c>
      <c r="V10" s="265">
        <f t="shared" si="5"/>
        <v>0</v>
      </c>
      <c r="W10" s="263">
        <v>0</v>
      </c>
      <c r="X10" s="265">
        <f t="shared" si="6"/>
        <v>0</v>
      </c>
      <c r="Y10" s="266">
        <f t="shared" si="7"/>
        <v>0</v>
      </c>
      <c r="Z10" s="267">
        <f t="shared" si="7"/>
        <v>0</v>
      </c>
      <c r="AB10" s="263">
        <f t="shared" si="8"/>
        <v>129.81599999999997</v>
      </c>
      <c r="AC10" s="252">
        <f t="shared" si="8"/>
        <v>5413.32</v>
      </c>
      <c r="AD10" s="263">
        <f t="shared" si="8"/>
        <v>7.2719999999999994</v>
      </c>
      <c r="AE10" s="252">
        <f t="shared" si="8"/>
        <v>454.86</v>
      </c>
      <c r="AF10" s="266">
        <f t="shared" si="8"/>
        <v>137.08799999999999</v>
      </c>
      <c r="AG10" s="267">
        <f t="shared" si="9"/>
        <v>5868.18</v>
      </c>
      <c r="AI10" s="252">
        <f t="shared" si="11"/>
        <v>39.71</v>
      </c>
      <c r="AJ10" s="308">
        <v>41.7</v>
      </c>
      <c r="AK10" s="308"/>
      <c r="AL10" s="319">
        <f t="shared" si="12"/>
        <v>76.591439999999992</v>
      </c>
      <c r="AM10" s="319">
        <f t="shared" si="13"/>
        <v>4.2904799999999996</v>
      </c>
      <c r="AN10" s="319">
        <f t="shared" si="14"/>
        <v>80.881919999999994</v>
      </c>
      <c r="AO10" s="319">
        <v>2080</v>
      </c>
    </row>
    <row r="11" spans="1:41" ht="17.45" customHeight="1" x14ac:dyDescent="0.4">
      <c r="A11" s="264" t="s">
        <v>213</v>
      </c>
      <c r="B11" s="264">
        <v>203</v>
      </c>
      <c r="C11" s="250" t="s">
        <v>217</v>
      </c>
      <c r="D11" s="264" t="s">
        <v>185</v>
      </c>
      <c r="E11" s="264">
        <v>28.74</v>
      </c>
      <c r="F11" s="264" t="s">
        <v>98</v>
      </c>
      <c r="G11" s="263">
        <v>77.483519999999999</v>
      </c>
      <c r="H11" s="265">
        <f t="shared" si="10"/>
        <v>2226.88</v>
      </c>
      <c r="I11" s="263">
        <v>3.2497199999999999</v>
      </c>
      <c r="J11" s="265">
        <f t="shared" si="0"/>
        <v>140.1</v>
      </c>
      <c r="K11" s="266">
        <f t="shared" si="1"/>
        <v>80.733239999999995</v>
      </c>
      <c r="L11" s="267">
        <f t="shared" si="1"/>
        <v>2366.98</v>
      </c>
      <c r="N11" s="263">
        <v>53.844479999999997</v>
      </c>
      <c r="O11" s="265">
        <f t="shared" si="2"/>
        <v>1547.49</v>
      </c>
      <c r="P11" s="263">
        <v>2.2582800000000001</v>
      </c>
      <c r="Q11" s="265">
        <f t="shared" si="3"/>
        <v>97.35</v>
      </c>
      <c r="R11" s="266">
        <f t="shared" si="4"/>
        <v>56.102759999999996</v>
      </c>
      <c r="S11" s="267">
        <f t="shared" si="4"/>
        <v>1644.84</v>
      </c>
      <c r="U11" s="263">
        <v>0</v>
      </c>
      <c r="V11" s="265">
        <f t="shared" si="5"/>
        <v>0</v>
      </c>
      <c r="W11" s="263">
        <v>0</v>
      </c>
      <c r="X11" s="265">
        <f t="shared" si="6"/>
        <v>0</v>
      </c>
      <c r="Y11" s="266">
        <f t="shared" si="7"/>
        <v>0</v>
      </c>
      <c r="Z11" s="267">
        <f t="shared" si="7"/>
        <v>0</v>
      </c>
      <c r="AB11" s="263">
        <f t="shared" si="8"/>
        <v>131.328</v>
      </c>
      <c r="AC11" s="252">
        <f t="shared" si="8"/>
        <v>3774.37</v>
      </c>
      <c r="AD11" s="263">
        <f t="shared" si="8"/>
        <v>5.508</v>
      </c>
      <c r="AE11" s="252">
        <f t="shared" si="8"/>
        <v>237.45</v>
      </c>
      <c r="AF11" s="266">
        <f t="shared" si="8"/>
        <v>136.83599999999998</v>
      </c>
      <c r="AG11" s="267">
        <f t="shared" si="9"/>
        <v>4011.8199999999997</v>
      </c>
      <c r="AI11" s="252">
        <f t="shared" si="11"/>
        <v>27.37</v>
      </c>
      <c r="AJ11" s="308">
        <v>28.74</v>
      </c>
      <c r="AK11" s="308"/>
      <c r="AL11" s="319">
        <f t="shared" si="12"/>
        <v>77.483519999999999</v>
      </c>
      <c r="AM11" s="319">
        <f t="shared" si="13"/>
        <v>3.2497199999999999</v>
      </c>
      <c r="AN11" s="319">
        <f t="shared" si="14"/>
        <v>80.733239999999995</v>
      </c>
      <c r="AO11" s="319">
        <v>2080</v>
      </c>
    </row>
    <row r="12" spans="1:41" ht="17.45" customHeight="1" x14ac:dyDescent="0.4">
      <c r="A12" s="264" t="s">
        <v>213</v>
      </c>
      <c r="B12" s="264">
        <v>216</v>
      </c>
      <c r="C12" s="250" t="s">
        <v>217</v>
      </c>
      <c r="D12" s="264" t="s">
        <v>185</v>
      </c>
      <c r="E12" s="264">
        <v>27.23</v>
      </c>
      <c r="F12" s="264" t="s">
        <v>98</v>
      </c>
      <c r="G12" s="263">
        <v>53.482319999999994</v>
      </c>
      <c r="H12" s="265">
        <f t="shared" si="10"/>
        <v>1456.32</v>
      </c>
      <c r="I12" s="263">
        <v>0.33983999999999998</v>
      </c>
      <c r="J12" s="265">
        <f t="shared" si="0"/>
        <v>13.88</v>
      </c>
      <c r="K12" s="266">
        <f t="shared" si="1"/>
        <v>53.822159999999997</v>
      </c>
      <c r="L12" s="267">
        <f t="shared" si="1"/>
        <v>1470.2</v>
      </c>
      <c r="N12" s="263">
        <v>37.165679999999995</v>
      </c>
      <c r="O12" s="265">
        <f t="shared" si="2"/>
        <v>1012.02</v>
      </c>
      <c r="P12" s="263">
        <v>0.23615999999999998</v>
      </c>
      <c r="Q12" s="265">
        <f t="shared" si="3"/>
        <v>9.65</v>
      </c>
      <c r="R12" s="266">
        <f t="shared" si="4"/>
        <v>37.401839999999993</v>
      </c>
      <c r="S12" s="267">
        <f t="shared" si="4"/>
        <v>1021.67</v>
      </c>
      <c r="U12" s="263">
        <v>0</v>
      </c>
      <c r="V12" s="265">
        <f t="shared" si="5"/>
        <v>0</v>
      </c>
      <c r="W12" s="263">
        <v>0</v>
      </c>
      <c r="X12" s="265">
        <f t="shared" si="6"/>
        <v>0</v>
      </c>
      <c r="Y12" s="266">
        <f t="shared" si="7"/>
        <v>0</v>
      </c>
      <c r="Z12" s="267">
        <f t="shared" si="7"/>
        <v>0</v>
      </c>
      <c r="AB12" s="263">
        <f t="shared" si="8"/>
        <v>90.647999999999996</v>
      </c>
      <c r="AC12" s="252">
        <f t="shared" si="8"/>
        <v>2468.34</v>
      </c>
      <c r="AD12" s="263">
        <f t="shared" si="8"/>
        <v>0.57599999999999996</v>
      </c>
      <c r="AE12" s="252">
        <f t="shared" si="8"/>
        <v>23.53</v>
      </c>
      <c r="AF12" s="266">
        <f t="shared" si="8"/>
        <v>91.22399999999999</v>
      </c>
      <c r="AG12" s="267">
        <f t="shared" si="9"/>
        <v>2491.87</v>
      </c>
      <c r="AI12" s="252">
        <f t="shared" si="11"/>
        <v>25.93</v>
      </c>
      <c r="AJ12" s="308">
        <v>27.23</v>
      </c>
      <c r="AK12" s="308"/>
      <c r="AL12" s="319">
        <f t="shared" si="12"/>
        <v>53.482319999999994</v>
      </c>
      <c r="AM12" s="319">
        <f t="shared" si="13"/>
        <v>0.33983999999999998</v>
      </c>
      <c r="AN12" s="319">
        <f t="shared" si="14"/>
        <v>53.822159999999997</v>
      </c>
      <c r="AO12" s="319">
        <v>2080</v>
      </c>
    </row>
    <row r="13" spans="1:41" ht="17.45" customHeight="1" x14ac:dyDescent="0.4">
      <c r="A13" s="254" t="s">
        <v>207</v>
      </c>
      <c r="B13" s="254">
        <v>228</v>
      </c>
      <c r="C13" s="253" t="s">
        <v>373</v>
      </c>
      <c r="D13" s="254" t="s">
        <v>185</v>
      </c>
      <c r="E13" s="287">
        <v>32.520000000000003</v>
      </c>
      <c r="F13" s="264" t="s">
        <v>98</v>
      </c>
      <c r="G13" s="263">
        <v>72.640799999999984</v>
      </c>
      <c r="H13" s="265">
        <f t="shared" si="10"/>
        <v>2362.2800000000002</v>
      </c>
      <c r="I13" s="263">
        <v>0.16991999999999999</v>
      </c>
      <c r="J13" s="265">
        <f t="shared" si="0"/>
        <v>8.2899999999999991</v>
      </c>
      <c r="K13" s="266">
        <f t="shared" si="1"/>
        <v>72.810719999999989</v>
      </c>
      <c r="L13" s="267">
        <f t="shared" si="1"/>
        <v>2370.5700000000002</v>
      </c>
      <c r="N13" s="263">
        <v>50.479199999999992</v>
      </c>
      <c r="O13" s="265">
        <f t="shared" si="2"/>
        <v>1641.58</v>
      </c>
      <c r="P13" s="263">
        <v>0.11807999999999999</v>
      </c>
      <c r="Q13" s="265">
        <f t="shared" si="3"/>
        <v>5.76</v>
      </c>
      <c r="R13" s="266">
        <f t="shared" si="4"/>
        <v>50.597279999999991</v>
      </c>
      <c r="S13" s="267">
        <f t="shared" si="4"/>
        <v>1647.34</v>
      </c>
      <c r="U13" s="263">
        <v>0</v>
      </c>
      <c r="V13" s="265">
        <f t="shared" si="5"/>
        <v>0</v>
      </c>
      <c r="W13" s="263">
        <v>0</v>
      </c>
      <c r="X13" s="265">
        <f t="shared" si="6"/>
        <v>0</v>
      </c>
      <c r="Y13" s="266">
        <f t="shared" si="7"/>
        <v>0</v>
      </c>
      <c r="Z13" s="267">
        <f t="shared" si="7"/>
        <v>0</v>
      </c>
      <c r="AB13" s="263">
        <f t="shared" si="8"/>
        <v>123.11999999999998</v>
      </c>
      <c r="AC13" s="252">
        <f t="shared" si="8"/>
        <v>4003.86</v>
      </c>
      <c r="AD13" s="263">
        <f t="shared" si="8"/>
        <v>0.28799999999999998</v>
      </c>
      <c r="AE13" s="252">
        <f t="shared" si="8"/>
        <v>14.049999999999999</v>
      </c>
      <c r="AF13" s="266">
        <f t="shared" si="8"/>
        <v>123.40799999999999</v>
      </c>
      <c r="AG13" s="267">
        <f t="shared" si="9"/>
        <v>4017.91</v>
      </c>
      <c r="AI13" s="252">
        <f t="shared" si="11"/>
        <v>30.97</v>
      </c>
      <c r="AJ13" s="309">
        <v>32.520000000000003</v>
      </c>
      <c r="AK13" s="309"/>
      <c r="AL13" s="319">
        <f t="shared" si="12"/>
        <v>72.640799999999984</v>
      </c>
      <c r="AM13" s="319">
        <f t="shared" si="13"/>
        <v>0.16991999999999999</v>
      </c>
      <c r="AN13" s="319">
        <f t="shared" si="14"/>
        <v>72.810719999999989</v>
      </c>
      <c r="AO13" s="319">
        <v>2080</v>
      </c>
    </row>
    <row r="14" spans="1:41" ht="17.45" customHeight="1" x14ac:dyDescent="0.4">
      <c r="A14" s="264" t="s">
        <v>195</v>
      </c>
      <c r="B14" s="264">
        <v>116</v>
      </c>
      <c r="C14" s="250" t="s">
        <v>196</v>
      </c>
      <c r="D14" s="264" t="s">
        <v>185</v>
      </c>
      <c r="E14" s="264">
        <v>39.799999999999997</v>
      </c>
      <c r="F14" s="264" t="s">
        <v>98</v>
      </c>
      <c r="G14" s="263">
        <v>3</v>
      </c>
      <c r="H14" s="265">
        <f t="shared" si="10"/>
        <v>119.4</v>
      </c>
      <c r="I14" s="263">
        <v>32</v>
      </c>
      <c r="J14" s="265">
        <f t="shared" si="0"/>
        <v>1910.4</v>
      </c>
      <c r="K14" s="266">
        <f t="shared" si="1"/>
        <v>35</v>
      </c>
      <c r="L14" s="267">
        <f t="shared" si="1"/>
        <v>2029.8000000000002</v>
      </c>
      <c r="N14" s="263">
        <v>4</v>
      </c>
      <c r="O14" s="265">
        <f t="shared" si="2"/>
        <v>159.19999999999999</v>
      </c>
      <c r="P14" s="263">
        <v>0</v>
      </c>
      <c r="Q14" s="265">
        <f t="shared" si="3"/>
        <v>0</v>
      </c>
      <c r="R14" s="266">
        <f t="shared" si="4"/>
        <v>4</v>
      </c>
      <c r="S14" s="267">
        <f t="shared" si="4"/>
        <v>159.19999999999999</v>
      </c>
      <c r="U14" s="263">
        <v>0</v>
      </c>
      <c r="V14" s="265">
        <f t="shared" si="5"/>
        <v>0</v>
      </c>
      <c r="W14" s="263">
        <v>0</v>
      </c>
      <c r="X14" s="265">
        <f t="shared" si="6"/>
        <v>0</v>
      </c>
      <c r="Y14" s="266">
        <f t="shared" si="7"/>
        <v>0</v>
      </c>
      <c r="Z14" s="267">
        <f t="shared" si="7"/>
        <v>0</v>
      </c>
      <c r="AB14" s="263">
        <f t="shared" si="8"/>
        <v>7</v>
      </c>
      <c r="AC14" s="252">
        <f t="shared" si="8"/>
        <v>278.60000000000002</v>
      </c>
      <c r="AD14" s="263">
        <f t="shared" si="8"/>
        <v>32</v>
      </c>
      <c r="AE14" s="252">
        <f t="shared" si="8"/>
        <v>1910.4</v>
      </c>
      <c r="AF14" s="266">
        <f t="shared" si="8"/>
        <v>39</v>
      </c>
      <c r="AG14" s="267">
        <f t="shared" si="9"/>
        <v>2189</v>
      </c>
      <c r="AI14" s="252">
        <f t="shared" si="11"/>
        <v>37.9</v>
      </c>
      <c r="AJ14" s="308">
        <v>39.799999999999997</v>
      </c>
      <c r="AK14" s="308"/>
      <c r="AL14" s="319">
        <f t="shared" si="12"/>
        <v>3</v>
      </c>
      <c r="AM14" s="319">
        <f t="shared" si="13"/>
        <v>32</v>
      </c>
      <c r="AN14" s="319">
        <f t="shared" si="14"/>
        <v>35</v>
      </c>
      <c r="AO14" s="319">
        <v>2080</v>
      </c>
    </row>
    <row r="15" spans="1:41" ht="17.45" customHeight="1" x14ac:dyDescent="0.4">
      <c r="A15" s="264" t="s">
        <v>195</v>
      </c>
      <c r="B15" s="264">
        <v>206</v>
      </c>
      <c r="C15" s="250" t="s">
        <v>202</v>
      </c>
      <c r="D15" s="264" t="s">
        <v>185</v>
      </c>
      <c r="E15" s="264">
        <v>20.52</v>
      </c>
      <c r="F15" s="264" t="s">
        <v>98</v>
      </c>
      <c r="G15" s="263">
        <v>0</v>
      </c>
      <c r="H15" s="265">
        <f t="shared" si="10"/>
        <v>0</v>
      </c>
      <c r="I15" s="263">
        <v>5</v>
      </c>
      <c r="J15" s="265">
        <f t="shared" si="0"/>
        <v>153.9</v>
      </c>
      <c r="K15" s="266">
        <f t="shared" si="1"/>
        <v>5</v>
      </c>
      <c r="L15" s="267">
        <f t="shared" si="1"/>
        <v>153.9</v>
      </c>
      <c r="N15" s="263">
        <v>30.5</v>
      </c>
      <c r="O15" s="265">
        <f t="shared" si="2"/>
        <v>625.86</v>
      </c>
      <c r="P15" s="263">
        <v>0</v>
      </c>
      <c r="Q15" s="265">
        <f t="shared" si="3"/>
        <v>0</v>
      </c>
      <c r="R15" s="266">
        <f t="shared" si="4"/>
        <v>30.5</v>
      </c>
      <c r="S15" s="267">
        <f t="shared" si="4"/>
        <v>625.86</v>
      </c>
      <c r="U15" s="263">
        <v>0</v>
      </c>
      <c r="V15" s="265">
        <f t="shared" si="5"/>
        <v>0</v>
      </c>
      <c r="W15" s="263">
        <v>0</v>
      </c>
      <c r="X15" s="265">
        <f t="shared" si="6"/>
        <v>0</v>
      </c>
      <c r="Y15" s="266">
        <f t="shared" si="7"/>
        <v>0</v>
      </c>
      <c r="Z15" s="267">
        <f t="shared" si="7"/>
        <v>0</v>
      </c>
      <c r="AB15" s="263">
        <f t="shared" si="8"/>
        <v>30.5</v>
      </c>
      <c r="AC15" s="252">
        <f t="shared" si="8"/>
        <v>625.86</v>
      </c>
      <c r="AD15" s="263">
        <f t="shared" si="8"/>
        <v>5</v>
      </c>
      <c r="AE15" s="252">
        <f t="shared" si="8"/>
        <v>153.9</v>
      </c>
      <c r="AF15" s="266">
        <f t="shared" si="8"/>
        <v>35.5</v>
      </c>
      <c r="AG15" s="267">
        <f t="shared" si="9"/>
        <v>779.76</v>
      </c>
      <c r="AI15" s="252">
        <f t="shared" si="11"/>
        <v>19.54</v>
      </c>
      <c r="AJ15" s="308">
        <v>20.52</v>
      </c>
      <c r="AK15" s="308"/>
      <c r="AL15" s="319">
        <f t="shared" si="12"/>
        <v>0</v>
      </c>
      <c r="AM15" s="319">
        <f t="shared" si="13"/>
        <v>5</v>
      </c>
      <c r="AN15" s="319">
        <f t="shared" si="14"/>
        <v>5</v>
      </c>
      <c r="AO15" s="319">
        <v>2080</v>
      </c>
    </row>
    <row r="16" spans="1:41" ht="17.45" customHeight="1" x14ac:dyDescent="0.4">
      <c r="A16" s="254" t="s">
        <v>195</v>
      </c>
      <c r="B16" s="254">
        <v>226</v>
      </c>
      <c r="C16" s="253" t="s">
        <v>202</v>
      </c>
      <c r="D16" s="254" t="s">
        <v>185</v>
      </c>
      <c r="E16" s="287">
        <v>19.62</v>
      </c>
      <c r="F16" s="264" t="s">
        <v>98</v>
      </c>
      <c r="G16" s="263">
        <v>17.5</v>
      </c>
      <c r="H16" s="265">
        <f t="shared" si="10"/>
        <v>343.35</v>
      </c>
      <c r="I16" s="263">
        <v>13.5</v>
      </c>
      <c r="J16" s="265">
        <f t="shared" si="0"/>
        <v>397.31</v>
      </c>
      <c r="K16" s="266">
        <f t="shared" si="1"/>
        <v>31</v>
      </c>
      <c r="L16" s="267">
        <f t="shared" si="1"/>
        <v>740.66000000000008</v>
      </c>
      <c r="N16" s="263">
        <v>37</v>
      </c>
      <c r="O16" s="265">
        <f t="shared" si="2"/>
        <v>725.94</v>
      </c>
      <c r="P16" s="263">
        <v>0</v>
      </c>
      <c r="Q16" s="265">
        <f t="shared" si="3"/>
        <v>0</v>
      </c>
      <c r="R16" s="266">
        <f t="shared" si="4"/>
        <v>37</v>
      </c>
      <c r="S16" s="267">
        <f t="shared" si="4"/>
        <v>725.94</v>
      </c>
      <c r="U16" s="263">
        <v>0</v>
      </c>
      <c r="V16" s="265">
        <f t="shared" si="5"/>
        <v>0</v>
      </c>
      <c r="W16" s="263">
        <v>0</v>
      </c>
      <c r="X16" s="265">
        <f t="shared" si="6"/>
        <v>0</v>
      </c>
      <c r="Y16" s="266">
        <f t="shared" si="7"/>
        <v>0</v>
      </c>
      <c r="Z16" s="267">
        <f t="shared" si="7"/>
        <v>0</v>
      </c>
      <c r="AB16" s="263">
        <f t="shared" si="8"/>
        <v>54.5</v>
      </c>
      <c r="AC16" s="252">
        <f t="shared" si="8"/>
        <v>1069.29</v>
      </c>
      <c r="AD16" s="263">
        <f t="shared" si="8"/>
        <v>13.5</v>
      </c>
      <c r="AE16" s="252">
        <f t="shared" si="8"/>
        <v>397.31</v>
      </c>
      <c r="AF16" s="266">
        <f t="shared" si="8"/>
        <v>68</v>
      </c>
      <c r="AG16" s="267">
        <f t="shared" si="9"/>
        <v>1466.6000000000001</v>
      </c>
      <c r="AI16" s="252">
        <f t="shared" si="11"/>
        <v>18.690000000000001</v>
      </c>
      <c r="AJ16" s="309">
        <v>19.62</v>
      </c>
      <c r="AK16" s="309"/>
      <c r="AL16" s="319">
        <f t="shared" ref="AL16:AL71" si="15">G16</f>
        <v>17.5</v>
      </c>
      <c r="AM16" s="319">
        <f t="shared" ref="AM16:AM71" si="16">I16</f>
        <v>13.5</v>
      </c>
      <c r="AN16" s="319">
        <f t="shared" ref="AN16:AN71" si="17">SUM(AL16:AM16)</f>
        <v>31</v>
      </c>
      <c r="AO16" s="319">
        <v>2080</v>
      </c>
    </row>
    <row r="17" spans="1:41" ht="17.45" customHeight="1" x14ac:dyDescent="0.4">
      <c r="A17" s="254" t="s">
        <v>195</v>
      </c>
      <c r="B17" s="254">
        <v>223</v>
      </c>
      <c r="C17" s="253" t="s">
        <v>202</v>
      </c>
      <c r="D17" s="254" t="s">
        <v>185</v>
      </c>
      <c r="E17" s="287">
        <v>20.7</v>
      </c>
      <c r="F17" s="264" t="s">
        <v>98</v>
      </c>
      <c r="G17" s="263">
        <v>0</v>
      </c>
      <c r="H17" s="265">
        <f t="shared" si="10"/>
        <v>0</v>
      </c>
      <c r="I17" s="263">
        <v>6</v>
      </c>
      <c r="J17" s="265">
        <f t="shared" si="0"/>
        <v>186.3</v>
      </c>
      <c r="K17" s="266">
        <f t="shared" si="1"/>
        <v>6</v>
      </c>
      <c r="L17" s="267">
        <f t="shared" si="1"/>
        <v>186.3</v>
      </c>
      <c r="N17" s="263">
        <v>0</v>
      </c>
      <c r="O17" s="265">
        <f t="shared" si="2"/>
        <v>0</v>
      </c>
      <c r="P17" s="263">
        <v>0</v>
      </c>
      <c r="Q17" s="265">
        <f t="shared" si="3"/>
        <v>0</v>
      </c>
      <c r="R17" s="266">
        <f t="shared" si="4"/>
        <v>0</v>
      </c>
      <c r="S17" s="267">
        <f t="shared" si="4"/>
        <v>0</v>
      </c>
      <c r="U17" s="263">
        <v>0</v>
      </c>
      <c r="V17" s="265">
        <f t="shared" si="5"/>
        <v>0</v>
      </c>
      <c r="W17" s="263">
        <v>0</v>
      </c>
      <c r="X17" s="265">
        <f t="shared" si="6"/>
        <v>0</v>
      </c>
      <c r="Y17" s="266">
        <f t="shared" si="7"/>
        <v>0</v>
      </c>
      <c r="Z17" s="267">
        <f t="shared" si="7"/>
        <v>0</v>
      </c>
      <c r="AB17" s="263">
        <f t="shared" si="8"/>
        <v>0</v>
      </c>
      <c r="AC17" s="252">
        <f t="shared" si="8"/>
        <v>0</v>
      </c>
      <c r="AD17" s="263">
        <f t="shared" si="8"/>
        <v>6</v>
      </c>
      <c r="AE17" s="252">
        <f t="shared" si="8"/>
        <v>186.3</v>
      </c>
      <c r="AF17" s="266">
        <f t="shared" si="8"/>
        <v>6</v>
      </c>
      <c r="AG17" s="267">
        <f t="shared" si="9"/>
        <v>186.3</v>
      </c>
      <c r="AI17" s="252">
        <f t="shared" si="11"/>
        <v>19.71</v>
      </c>
      <c r="AJ17" s="309">
        <v>20.7</v>
      </c>
      <c r="AK17" s="309"/>
      <c r="AL17" s="319">
        <f t="shared" si="15"/>
        <v>0</v>
      </c>
      <c r="AM17" s="319">
        <f t="shared" si="16"/>
        <v>6</v>
      </c>
      <c r="AN17" s="319">
        <f t="shared" si="17"/>
        <v>6</v>
      </c>
      <c r="AO17" s="319">
        <v>2080</v>
      </c>
    </row>
    <row r="18" spans="1:41" ht="17.45" customHeight="1" x14ac:dyDescent="0.4">
      <c r="A18" s="254" t="s">
        <v>195</v>
      </c>
      <c r="B18" s="254">
        <v>215</v>
      </c>
      <c r="C18" s="253" t="s">
        <v>202</v>
      </c>
      <c r="D18" s="254" t="s">
        <v>185</v>
      </c>
      <c r="E18" s="264">
        <v>22.76</v>
      </c>
      <c r="F18" s="264" t="s">
        <v>98</v>
      </c>
      <c r="G18" s="263">
        <v>0</v>
      </c>
      <c r="H18" s="265">
        <f t="shared" si="10"/>
        <v>0</v>
      </c>
      <c r="I18" s="263">
        <v>3.5</v>
      </c>
      <c r="J18" s="265">
        <f t="shared" si="0"/>
        <v>119.49</v>
      </c>
      <c r="K18" s="266">
        <f t="shared" si="1"/>
        <v>3.5</v>
      </c>
      <c r="L18" s="267">
        <f t="shared" si="1"/>
        <v>119.49</v>
      </c>
      <c r="N18" s="263">
        <v>0</v>
      </c>
      <c r="O18" s="265">
        <f t="shared" si="2"/>
        <v>0</v>
      </c>
      <c r="P18" s="263">
        <v>0</v>
      </c>
      <c r="Q18" s="265">
        <f t="shared" si="3"/>
        <v>0</v>
      </c>
      <c r="R18" s="266">
        <f t="shared" si="4"/>
        <v>0</v>
      </c>
      <c r="S18" s="267">
        <f t="shared" si="4"/>
        <v>0</v>
      </c>
      <c r="U18" s="263">
        <v>0</v>
      </c>
      <c r="V18" s="265">
        <f t="shared" si="5"/>
        <v>0</v>
      </c>
      <c r="W18" s="263">
        <v>0</v>
      </c>
      <c r="X18" s="265">
        <f t="shared" si="6"/>
        <v>0</v>
      </c>
      <c r="Y18" s="266">
        <f t="shared" si="7"/>
        <v>0</v>
      </c>
      <c r="Z18" s="267">
        <f t="shared" si="7"/>
        <v>0</v>
      </c>
      <c r="AB18" s="263">
        <f t="shared" si="8"/>
        <v>0</v>
      </c>
      <c r="AC18" s="252">
        <f t="shared" si="8"/>
        <v>0</v>
      </c>
      <c r="AD18" s="263">
        <f t="shared" si="8"/>
        <v>3.5</v>
      </c>
      <c r="AE18" s="252">
        <f t="shared" si="8"/>
        <v>119.49</v>
      </c>
      <c r="AF18" s="266">
        <f t="shared" si="8"/>
        <v>3.5</v>
      </c>
      <c r="AG18" s="267">
        <f t="shared" si="9"/>
        <v>119.49</v>
      </c>
      <c r="AI18" s="252">
        <f t="shared" si="11"/>
        <v>21.68</v>
      </c>
      <c r="AJ18" s="308">
        <v>22.76</v>
      </c>
      <c r="AK18" s="308"/>
      <c r="AL18" s="319">
        <f t="shared" si="15"/>
        <v>0</v>
      </c>
      <c r="AM18" s="319">
        <f t="shared" si="16"/>
        <v>3.5</v>
      </c>
      <c r="AN18" s="319">
        <f t="shared" si="17"/>
        <v>3.5</v>
      </c>
      <c r="AO18" s="319">
        <v>2080</v>
      </c>
    </row>
    <row r="19" spans="1:41" ht="17.45" customHeight="1" x14ac:dyDescent="0.4">
      <c r="A19" s="264" t="s">
        <v>207</v>
      </c>
      <c r="B19" s="264">
        <v>35</v>
      </c>
      <c r="C19" s="250" t="s">
        <v>208</v>
      </c>
      <c r="D19" s="264" t="s">
        <v>185</v>
      </c>
      <c r="E19" s="264">
        <v>3115.83</v>
      </c>
      <c r="F19" s="264" t="s">
        <v>186</v>
      </c>
      <c r="G19" s="263">
        <v>68.477759999999989</v>
      </c>
      <c r="H19" s="265">
        <f t="shared" si="10"/>
        <v>2667.06</v>
      </c>
      <c r="I19" s="263">
        <v>5.7772799999999993</v>
      </c>
      <c r="J19" s="265">
        <f t="shared" si="0"/>
        <v>225.01</v>
      </c>
      <c r="K19" s="266">
        <f t="shared" si="1"/>
        <v>74.255039999999994</v>
      </c>
      <c r="L19" s="267">
        <f t="shared" si="1"/>
        <v>2892.0699999999997</v>
      </c>
      <c r="N19" s="263">
        <v>47.586239999999997</v>
      </c>
      <c r="O19" s="265">
        <f t="shared" si="2"/>
        <v>1853.38</v>
      </c>
      <c r="P19" s="263">
        <v>4.0147199999999996</v>
      </c>
      <c r="Q19" s="265">
        <f t="shared" si="3"/>
        <v>156.36000000000001</v>
      </c>
      <c r="R19" s="266">
        <f t="shared" si="4"/>
        <v>51.600959999999993</v>
      </c>
      <c r="S19" s="267">
        <f t="shared" si="4"/>
        <v>2009.7400000000002</v>
      </c>
      <c r="U19" s="263">
        <v>0</v>
      </c>
      <c r="V19" s="265">
        <f t="shared" si="5"/>
        <v>0</v>
      </c>
      <c r="W19" s="263">
        <v>0</v>
      </c>
      <c r="X19" s="265">
        <f t="shared" si="6"/>
        <v>0</v>
      </c>
      <c r="Y19" s="266">
        <f t="shared" si="7"/>
        <v>0</v>
      </c>
      <c r="Z19" s="267">
        <f t="shared" si="7"/>
        <v>0</v>
      </c>
      <c r="AB19" s="263">
        <f t="shared" si="8"/>
        <v>116.06399999999999</v>
      </c>
      <c r="AC19" s="252">
        <f t="shared" si="8"/>
        <v>4520.4400000000005</v>
      </c>
      <c r="AD19" s="263">
        <f t="shared" si="8"/>
        <v>9.791999999999998</v>
      </c>
      <c r="AE19" s="252">
        <f t="shared" si="8"/>
        <v>381.37</v>
      </c>
      <c r="AF19" s="266">
        <f t="shared" si="8"/>
        <v>125.85599999999999</v>
      </c>
      <c r="AG19" s="267">
        <f t="shared" si="9"/>
        <v>4901.8099999999995</v>
      </c>
      <c r="AI19" s="252">
        <f t="shared" si="11"/>
        <v>2967.46</v>
      </c>
      <c r="AJ19" s="308">
        <v>3115.83</v>
      </c>
      <c r="AK19" s="308"/>
      <c r="AL19" s="319">
        <f t="shared" si="15"/>
        <v>68.477759999999989</v>
      </c>
      <c r="AM19" s="319">
        <f t="shared" si="16"/>
        <v>5.7772799999999993</v>
      </c>
      <c r="AN19" s="319">
        <f t="shared" si="17"/>
        <v>74.255039999999994</v>
      </c>
      <c r="AO19" s="319">
        <v>2080</v>
      </c>
    </row>
    <row r="20" spans="1:41" ht="17.45" customHeight="1" x14ac:dyDescent="0.4">
      <c r="A20" s="264" t="s">
        <v>207</v>
      </c>
      <c r="B20" s="264">
        <v>35</v>
      </c>
      <c r="C20" s="253" t="s">
        <v>416</v>
      </c>
      <c r="D20" s="264" t="s">
        <v>185</v>
      </c>
      <c r="E20" s="264">
        <v>3115.83</v>
      </c>
      <c r="F20" s="264" t="s">
        <v>186</v>
      </c>
      <c r="G20" s="263">
        <v>33.113159999999993</v>
      </c>
      <c r="H20" s="265">
        <f t="shared" si="10"/>
        <v>1289.69</v>
      </c>
      <c r="I20" s="263">
        <v>3.4621199999999996</v>
      </c>
      <c r="J20" s="265">
        <f t="shared" si="0"/>
        <v>134.84</v>
      </c>
      <c r="K20" s="266">
        <f t="shared" si="1"/>
        <v>36.575279999999992</v>
      </c>
      <c r="L20" s="267">
        <f t="shared" si="1"/>
        <v>1424.53</v>
      </c>
      <c r="N20" s="263">
        <v>23.010839999999998</v>
      </c>
      <c r="O20" s="265">
        <f t="shared" si="2"/>
        <v>896.22</v>
      </c>
      <c r="P20" s="263">
        <v>2.4058799999999998</v>
      </c>
      <c r="Q20" s="265">
        <f t="shared" si="3"/>
        <v>93.7</v>
      </c>
      <c r="R20" s="266">
        <f t="shared" si="4"/>
        <v>25.416719999999998</v>
      </c>
      <c r="S20" s="267">
        <f t="shared" si="4"/>
        <v>989.92000000000007</v>
      </c>
      <c r="U20" s="263">
        <v>0</v>
      </c>
      <c r="V20" s="265">
        <f t="shared" si="5"/>
        <v>0</v>
      </c>
      <c r="W20" s="263">
        <v>0</v>
      </c>
      <c r="X20" s="265">
        <f t="shared" si="6"/>
        <v>0</v>
      </c>
      <c r="Y20" s="266">
        <f t="shared" si="7"/>
        <v>0</v>
      </c>
      <c r="Z20" s="267">
        <f t="shared" si="7"/>
        <v>0</v>
      </c>
      <c r="AB20" s="263">
        <f t="shared" si="8"/>
        <v>56.123999999999995</v>
      </c>
      <c r="AC20" s="252">
        <f t="shared" si="8"/>
        <v>2185.91</v>
      </c>
      <c r="AD20" s="263">
        <f t="shared" si="8"/>
        <v>5.8679999999999994</v>
      </c>
      <c r="AE20" s="252">
        <f t="shared" si="8"/>
        <v>228.54000000000002</v>
      </c>
      <c r="AF20" s="266">
        <f t="shared" si="8"/>
        <v>61.99199999999999</v>
      </c>
      <c r="AG20" s="267">
        <f t="shared" si="9"/>
        <v>2414.4499999999998</v>
      </c>
      <c r="AI20" s="252">
        <f t="shared" si="11"/>
        <v>2967.46</v>
      </c>
      <c r="AJ20" s="308">
        <v>3115.83</v>
      </c>
      <c r="AK20" s="308"/>
      <c r="AL20" s="319">
        <f t="shared" si="15"/>
        <v>33.113159999999993</v>
      </c>
      <c r="AM20" s="319">
        <f t="shared" si="16"/>
        <v>3.4621199999999996</v>
      </c>
      <c r="AN20" s="319">
        <f t="shared" si="17"/>
        <v>36.575279999999992</v>
      </c>
      <c r="AO20" s="319">
        <v>2080</v>
      </c>
    </row>
    <row r="21" spans="1:41" ht="17.45" customHeight="1" x14ac:dyDescent="0.4">
      <c r="A21" s="313" t="s">
        <v>219</v>
      </c>
      <c r="B21" s="313">
        <v>153</v>
      </c>
      <c r="C21" s="314" t="s">
        <v>383</v>
      </c>
      <c r="D21" s="270" t="s">
        <v>185</v>
      </c>
      <c r="E21" s="270">
        <v>23.74</v>
      </c>
      <c r="F21" s="270" t="s">
        <v>98</v>
      </c>
      <c r="G21" s="315">
        <f>G115</f>
        <v>1770.9999999999998</v>
      </c>
      <c r="H21" s="316">
        <f t="shared" si="10"/>
        <v>42043.54</v>
      </c>
      <c r="I21" s="315">
        <f>I115</f>
        <v>116.5</v>
      </c>
      <c r="J21" s="316">
        <f t="shared" si="0"/>
        <v>4148.57</v>
      </c>
      <c r="K21" s="315">
        <f t="shared" si="1"/>
        <v>1887.4999999999998</v>
      </c>
      <c r="L21" s="317">
        <f t="shared" si="1"/>
        <v>46192.11</v>
      </c>
      <c r="M21" s="317"/>
      <c r="N21" s="315">
        <f>N115</f>
        <v>0</v>
      </c>
      <c r="O21" s="316">
        <f t="shared" si="2"/>
        <v>0</v>
      </c>
      <c r="P21" s="315">
        <f>P115</f>
        <v>0</v>
      </c>
      <c r="Q21" s="316">
        <f t="shared" si="3"/>
        <v>0</v>
      </c>
      <c r="R21" s="315">
        <f t="shared" si="4"/>
        <v>0</v>
      </c>
      <c r="S21" s="317">
        <f t="shared" si="4"/>
        <v>0</v>
      </c>
      <c r="T21" s="318"/>
      <c r="U21" s="315">
        <v>0</v>
      </c>
      <c r="V21" s="316">
        <f t="shared" si="5"/>
        <v>0</v>
      </c>
      <c r="W21" s="315">
        <v>0</v>
      </c>
      <c r="X21" s="316">
        <f t="shared" si="6"/>
        <v>0</v>
      </c>
      <c r="Y21" s="315">
        <f t="shared" si="7"/>
        <v>0</v>
      </c>
      <c r="Z21" s="317">
        <f t="shared" si="7"/>
        <v>0</v>
      </c>
      <c r="AA21" s="318"/>
      <c r="AB21" s="315">
        <f t="shared" si="8"/>
        <v>1770.9999999999998</v>
      </c>
      <c r="AC21" s="317">
        <f t="shared" si="8"/>
        <v>42043.54</v>
      </c>
      <c r="AD21" s="315">
        <f t="shared" si="8"/>
        <v>116.5</v>
      </c>
      <c r="AE21" s="317">
        <f t="shared" si="8"/>
        <v>4148.57</v>
      </c>
      <c r="AF21" s="315">
        <f t="shared" si="8"/>
        <v>1887.4999999999998</v>
      </c>
      <c r="AG21" s="317">
        <f t="shared" si="9"/>
        <v>46192.11</v>
      </c>
      <c r="AI21" s="252">
        <f t="shared" si="11"/>
        <v>22.61</v>
      </c>
      <c r="AJ21" s="308">
        <v>23.74</v>
      </c>
      <c r="AK21" s="308"/>
      <c r="AL21" s="319">
        <f t="shared" si="15"/>
        <v>1770.9999999999998</v>
      </c>
      <c r="AM21" s="319">
        <f t="shared" si="16"/>
        <v>116.5</v>
      </c>
      <c r="AN21" s="319">
        <f t="shared" si="17"/>
        <v>1887.4999999999998</v>
      </c>
      <c r="AO21" s="319">
        <v>2080</v>
      </c>
    </row>
    <row r="22" spans="1:41" ht="17.45" customHeight="1" x14ac:dyDescent="0.4">
      <c r="A22" s="264" t="s">
        <v>195</v>
      </c>
      <c r="B22" s="264">
        <v>227</v>
      </c>
      <c r="C22" s="250" t="s">
        <v>203</v>
      </c>
      <c r="D22" s="264" t="s">
        <v>185</v>
      </c>
      <c r="E22" s="264">
        <v>19.62</v>
      </c>
      <c r="F22" s="264" t="s">
        <v>98</v>
      </c>
      <c r="G22" s="263">
        <v>0</v>
      </c>
      <c r="H22" s="265">
        <f t="shared" si="10"/>
        <v>0</v>
      </c>
      <c r="I22" s="263">
        <v>3</v>
      </c>
      <c r="J22" s="265">
        <f t="shared" si="0"/>
        <v>88.29</v>
      </c>
      <c r="K22" s="266">
        <f t="shared" si="1"/>
        <v>3</v>
      </c>
      <c r="L22" s="267">
        <f t="shared" si="1"/>
        <v>88.29</v>
      </c>
      <c r="N22" s="263">
        <v>0</v>
      </c>
      <c r="O22" s="265">
        <f t="shared" si="2"/>
        <v>0</v>
      </c>
      <c r="P22" s="263">
        <v>0</v>
      </c>
      <c r="Q22" s="265">
        <f t="shared" si="3"/>
        <v>0</v>
      </c>
      <c r="R22" s="266">
        <f t="shared" si="4"/>
        <v>0</v>
      </c>
      <c r="S22" s="267">
        <f t="shared" si="4"/>
        <v>0</v>
      </c>
      <c r="U22" s="263">
        <v>0</v>
      </c>
      <c r="V22" s="265">
        <f t="shared" si="5"/>
        <v>0</v>
      </c>
      <c r="W22" s="263">
        <v>0</v>
      </c>
      <c r="X22" s="265">
        <f t="shared" si="6"/>
        <v>0</v>
      </c>
      <c r="Y22" s="266">
        <f t="shared" si="7"/>
        <v>0</v>
      </c>
      <c r="Z22" s="267">
        <f t="shared" si="7"/>
        <v>0</v>
      </c>
      <c r="AB22" s="263">
        <f t="shared" si="8"/>
        <v>0</v>
      </c>
      <c r="AC22" s="252">
        <f t="shared" si="8"/>
        <v>0</v>
      </c>
      <c r="AD22" s="263">
        <f t="shared" si="8"/>
        <v>3</v>
      </c>
      <c r="AE22" s="252">
        <f t="shared" si="8"/>
        <v>88.29</v>
      </c>
      <c r="AF22" s="266">
        <f t="shared" si="8"/>
        <v>3</v>
      </c>
      <c r="AG22" s="267">
        <f t="shared" si="9"/>
        <v>88.29</v>
      </c>
      <c r="AI22" s="252">
        <f t="shared" si="11"/>
        <v>18.690000000000001</v>
      </c>
      <c r="AJ22" s="308">
        <v>19.62</v>
      </c>
      <c r="AK22" s="308"/>
      <c r="AL22" s="319">
        <f t="shared" si="15"/>
        <v>0</v>
      </c>
      <c r="AM22" s="319">
        <f t="shared" si="16"/>
        <v>3</v>
      </c>
      <c r="AN22" s="319">
        <f t="shared" si="17"/>
        <v>3</v>
      </c>
      <c r="AO22" s="319">
        <v>2080</v>
      </c>
    </row>
    <row r="23" spans="1:41" ht="17.45" customHeight="1" x14ac:dyDescent="0.4">
      <c r="A23" s="264" t="s">
        <v>204</v>
      </c>
      <c r="B23" s="264">
        <v>68</v>
      </c>
      <c r="C23" s="269" t="s">
        <v>372</v>
      </c>
      <c r="D23" s="254" t="s">
        <v>185</v>
      </c>
      <c r="E23" s="287">
        <v>44.15</v>
      </c>
      <c r="F23" s="264" t="s">
        <v>98</v>
      </c>
      <c r="G23" s="263">
        <v>2</v>
      </c>
      <c r="H23" s="265">
        <f t="shared" si="10"/>
        <v>88.3</v>
      </c>
      <c r="I23" s="263">
        <v>1.5</v>
      </c>
      <c r="J23" s="265">
        <f t="shared" si="0"/>
        <v>99.34</v>
      </c>
      <c r="K23" s="266">
        <f t="shared" si="1"/>
        <v>3.5</v>
      </c>
      <c r="L23" s="267">
        <f t="shared" si="1"/>
        <v>187.64</v>
      </c>
      <c r="N23" s="263">
        <v>41.5</v>
      </c>
      <c r="O23" s="265">
        <f t="shared" si="2"/>
        <v>1832.23</v>
      </c>
      <c r="P23" s="263">
        <v>4.5</v>
      </c>
      <c r="Q23" s="265">
        <f t="shared" si="3"/>
        <v>298.01</v>
      </c>
      <c r="R23" s="266">
        <f t="shared" si="4"/>
        <v>46</v>
      </c>
      <c r="S23" s="267">
        <f t="shared" si="4"/>
        <v>2130.2399999999998</v>
      </c>
      <c r="U23" s="263">
        <v>0</v>
      </c>
      <c r="V23" s="265">
        <f t="shared" si="5"/>
        <v>0</v>
      </c>
      <c r="W23" s="263">
        <v>0</v>
      </c>
      <c r="X23" s="265">
        <f t="shared" si="6"/>
        <v>0</v>
      </c>
      <c r="Y23" s="266">
        <f t="shared" si="7"/>
        <v>0</v>
      </c>
      <c r="Z23" s="267">
        <f t="shared" si="7"/>
        <v>0</v>
      </c>
      <c r="AB23" s="263">
        <f t="shared" si="8"/>
        <v>43.5</v>
      </c>
      <c r="AC23" s="252">
        <f t="shared" si="8"/>
        <v>1920.53</v>
      </c>
      <c r="AD23" s="263">
        <f t="shared" si="8"/>
        <v>6</v>
      </c>
      <c r="AE23" s="252">
        <f t="shared" si="8"/>
        <v>397.35</v>
      </c>
      <c r="AF23" s="266">
        <f t="shared" si="8"/>
        <v>49.5</v>
      </c>
      <c r="AG23" s="267">
        <f t="shared" si="9"/>
        <v>2317.8799999999997</v>
      </c>
      <c r="AI23" s="252">
        <f t="shared" si="11"/>
        <v>42.05</v>
      </c>
      <c r="AJ23" s="309">
        <v>44.15</v>
      </c>
      <c r="AK23" s="309"/>
      <c r="AL23" s="319">
        <f t="shared" si="15"/>
        <v>2</v>
      </c>
      <c r="AM23" s="319">
        <f t="shared" si="16"/>
        <v>1.5</v>
      </c>
      <c r="AN23" s="319">
        <f t="shared" si="17"/>
        <v>3.5</v>
      </c>
      <c r="AO23" s="319">
        <v>2080</v>
      </c>
    </row>
    <row r="24" spans="1:41" ht="17.45" customHeight="1" x14ac:dyDescent="0.4">
      <c r="A24" s="264" t="s">
        <v>188</v>
      </c>
      <c r="B24" s="264">
        <v>32</v>
      </c>
      <c r="C24" s="250" t="s">
        <v>189</v>
      </c>
      <c r="D24" s="254" t="s">
        <v>185</v>
      </c>
      <c r="E24" s="287">
        <v>39.78</v>
      </c>
      <c r="F24" s="264" t="s">
        <v>98</v>
      </c>
      <c r="G24" s="263">
        <v>6</v>
      </c>
      <c r="H24" s="265">
        <f t="shared" si="10"/>
        <v>238.68</v>
      </c>
      <c r="I24" s="263">
        <v>15.5</v>
      </c>
      <c r="J24" s="265">
        <f t="shared" si="0"/>
        <v>924.89</v>
      </c>
      <c r="K24" s="266">
        <f t="shared" si="1"/>
        <v>21.5</v>
      </c>
      <c r="L24" s="267">
        <f t="shared" si="1"/>
        <v>1163.57</v>
      </c>
      <c r="N24" s="263">
        <v>11</v>
      </c>
      <c r="O24" s="265">
        <f t="shared" si="2"/>
        <v>437.58</v>
      </c>
      <c r="P24" s="263">
        <v>0.5</v>
      </c>
      <c r="Q24" s="265">
        <f t="shared" si="3"/>
        <v>29.84</v>
      </c>
      <c r="R24" s="266">
        <f t="shared" si="4"/>
        <v>11.5</v>
      </c>
      <c r="S24" s="267">
        <f t="shared" si="4"/>
        <v>467.41999999999996</v>
      </c>
      <c r="U24" s="263">
        <v>10</v>
      </c>
      <c r="V24" s="265">
        <f t="shared" si="5"/>
        <v>397.8</v>
      </c>
      <c r="W24" s="263">
        <v>6</v>
      </c>
      <c r="X24" s="265">
        <f t="shared" si="6"/>
        <v>358.02</v>
      </c>
      <c r="Y24" s="266">
        <f t="shared" si="7"/>
        <v>16</v>
      </c>
      <c r="Z24" s="267">
        <f t="shared" si="7"/>
        <v>755.81999999999994</v>
      </c>
      <c r="AB24" s="263">
        <f t="shared" si="8"/>
        <v>27</v>
      </c>
      <c r="AC24" s="252">
        <f t="shared" si="8"/>
        <v>1074.06</v>
      </c>
      <c r="AD24" s="263">
        <f t="shared" si="8"/>
        <v>22</v>
      </c>
      <c r="AE24" s="252">
        <f t="shared" si="8"/>
        <v>1312.75</v>
      </c>
      <c r="AF24" s="266">
        <f t="shared" si="8"/>
        <v>49</v>
      </c>
      <c r="AG24" s="267">
        <f t="shared" si="9"/>
        <v>2386.8099999999995</v>
      </c>
      <c r="AI24" s="252">
        <f t="shared" si="11"/>
        <v>37.89</v>
      </c>
      <c r="AJ24" s="309">
        <v>39.78</v>
      </c>
      <c r="AK24" s="309"/>
      <c r="AL24" s="319">
        <f t="shared" si="15"/>
        <v>6</v>
      </c>
      <c r="AM24" s="319">
        <f t="shared" si="16"/>
        <v>15.5</v>
      </c>
      <c r="AN24" s="319">
        <f t="shared" si="17"/>
        <v>21.5</v>
      </c>
      <c r="AO24" s="319">
        <v>2080</v>
      </c>
    </row>
    <row r="25" spans="1:41" ht="17.45" customHeight="1" x14ac:dyDescent="0.4">
      <c r="A25" s="264" t="s">
        <v>188</v>
      </c>
      <c r="B25" s="264">
        <v>149</v>
      </c>
      <c r="C25" s="250" t="s">
        <v>189</v>
      </c>
      <c r="D25" s="254" t="s">
        <v>185</v>
      </c>
      <c r="E25" s="287">
        <v>32.200000000000003</v>
      </c>
      <c r="F25" s="264" t="s">
        <v>98</v>
      </c>
      <c r="G25" s="263">
        <v>9</v>
      </c>
      <c r="H25" s="265">
        <f t="shared" si="10"/>
        <v>289.8</v>
      </c>
      <c r="I25" s="263">
        <v>24.5</v>
      </c>
      <c r="J25" s="265">
        <f t="shared" si="0"/>
        <v>1183.3499999999999</v>
      </c>
      <c r="K25" s="266">
        <f t="shared" si="1"/>
        <v>33.5</v>
      </c>
      <c r="L25" s="267">
        <f t="shared" si="1"/>
        <v>1473.1499999999999</v>
      </c>
      <c r="N25" s="263">
        <v>33</v>
      </c>
      <c r="O25" s="265">
        <f t="shared" si="2"/>
        <v>1062.5999999999999</v>
      </c>
      <c r="P25" s="263">
        <v>3</v>
      </c>
      <c r="Q25" s="265">
        <f t="shared" si="3"/>
        <v>144.9</v>
      </c>
      <c r="R25" s="266">
        <f t="shared" si="4"/>
        <v>36</v>
      </c>
      <c r="S25" s="267">
        <f t="shared" si="4"/>
        <v>1207.5</v>
      </c>
      <c r="U25" s="263">
        <v>6</v>
      </c>
      <c r="V25" s="265">
        <f t="shared" si="5"/>
        <v>193.2</v>
      </c>
      <c r="W25" s="263">
        <v>11.5</v>
      </c>
      <c r="X25" s="265">
        <f t="shared" si="6"/>
        <v>555.45000000000005</v>
      </c>
      <c r="Y25" s="266">
        <f t="shared" si="7"/>
        <v>17.5</v>
      </c>
      <c r="Z25" s="267">
        <f t="shared" si="7"/>
        <v>748.65000000000009</v>
      </c>
      <c r="AB25" s="263">
        <f t="shared" si="8"/>
        <v>48</v>
      </c>
      <c r="AC25" s="252">
        <f t="shared" si="8"/>
        <v>1545.6</v>
      </c>
      <c r="AD25" s="263">
        <f t="shared" si="8"/>
        <v>39</v>
      </c>
      <c r="AE25" s="252">
        <f t="shared" si="8"/>
        <v>1883.7</v>
      </c>
      <c r="AF25" s="266">
        <f t="shared" si="8"/>
        <v>87</v>
      </c>
      <c r="AG25" s="267">
        <f t="shared" si="9"/>
        <v>3429.2999999999997</v>
      </c>
      <c r="AI25" s="252">
        <f t="shared" si="11"/>
        <v>30.67</v>
      </c>
      <c r="AJ25" s="309">
        <v>32.200000000000003</v>
      </c>
      <c r="AK25" s="309"/>
      <c r="AL25" s="319">
        <f t="shared" si="15"/>
        <v>9</v>
      </c>
      <c r="AM25" s="319">
        <f t="shared" si="16"/>
        <v>24.5</v>
      </c>
      <c r="AN25" s="319">
        <f t="shared" si="17"/>
        <v>33.5</v>
      </c>
      <c r="AO25" s="319">
        <v>2080</v>
      </c>
    </row>
    <row r="26" spans="1:41" ht="17.45" customHeight="1" x14ac:dyDescent="0.4">
      <c r="A26" s="264" t="s">
        <v>188</v>
      </c>
      <c r="B26" s="264">
        <v>115</v>
      </c>
      <c r="C26" s="250" t="s">
        <v>189</v>
      </c>
      <c r="D26" s="254" t="s">
        <v>185</v>
      </c>
      <c r="E26" s="287">
        <v>39.78</v>
      </c>
      <c r="F26" s="264" t="s">
        <v>98</v>
      </c>
      <c r="G26" s="263">
        <v>62.542479999999998</v>
      </c>
      <c r="H26" s="265">
        <f t="shared" si="10"/>
        <v>2487.94</v>
      </c>
      <c r="I26" s="263">
        <v>26</v>
      </c>
      <c r="J26" s="265">
        <f t="shared" si="0"/>
        <v>1551.42</v>
      </c>
      <c r="K26" s="266">
        <f t="shared" si="1"/>
        <v>88.542479999999998</v>
      </c>
      <c r="L26" s="267">
        <f t="shared" si="1"/>
        <v>4039.36</v>
      </c>
      <c r="N26" s="263">
        <v>63.029519999999998</v>
      </c>
      <c r="O26" s="265">
        <f t="shared" si="2"/>
        <v>2507.31</v>
      </c>
      <c r="P26" s="263">
        <v>7.5</v>
      </c>
      <c r="Q26" s="265">
        <f t="shared" si="3"/>
        <v>447.53</v>
      </c>
      <c r="R26" s="266">
        <f t="shared" si="4"/>
        <v>70.529519999999991</v>
      </c>
      <c r="S26" s="267">
        <f t="shared" si="4"/>
        <v>2954.84</v>
      </c>
      <c r="U26" s="263">
        <v>4</v>
      </c>
      <c r="V26" s="265">
        <f t="shared" si="5"/>
        <v>159.12</v>
      </c>
      <c r="W26" s="263">
        <v>3</v>
      </c>
      <c r="X26" s="265">
        <f t="shared" si="6"/>
        <v>179.01</v>
      </c>
      <c r="Y26" s="266">
        <f t="shared" si="7"/>
        <v>7</v>
      </c>
      <c r="Z26" s="267">
        <f t="shared" si="7"/>
        <v>338.13</v>
      </c>
      <c r="AB26" s="263">
        <f t="shared" si="8"/>
        <v>129.572</v>
      </c>
      <c r="AC26" s="252">
        <f t="shared" si="8"/>
        <v>5154.37</v>
      </c>
      <c r="AD26" s="263">
        <f t="shared" si="8"/>
        <v>36.5</v>
      </c>
      <c r="AE26" s="252">
        <f t="shared" si="8"/>
        <v>2177.96</v>
      </c>
      <c r="AF26" s="266">
        <f t="shared" si="8"/>
        <v>166.072</v>
      </c>
      <c r="AG26" s="267">
        <f t="shared" si="9"/>
        <v>7332.3300000000008</v>
      </c>
      <c r="AI26" s="252">
        <f t="shared" si="11"/>
        <v>37.89</v>
      </c>
      <c r="AJ26" s="309">
        <v>39.78</v>
      </c>
      <c r="AK26" s="309"/>
      <c r="AL26" s="319">
        <f t="shared" si="15"/>
        <v>62.542479999999998</v>
      </c>
      <c r="AM26" s="319">
        <f t="shared" si="16"/>
        <v>26</v>
      </c>
      <c r="AN26" s="319">
        <f t="shared" si="17"/>
        <v>88.542479999999998</v>
      </c>
      <c r="AO26" s="319">
        <v>2080</v>
      </c>
    </row>
    <row r="27" spans="1:41" ht="17.45" customHeight="1" x14ac:dyDescent="0.4">
      <c r="A27" s="264" t="s">
        <v>204</v>
      </c>
      <c r="B27" s="264">
        <v>161</v>
      </c>
      <c r="C27" s="250" t="s">
        <v>194</v>
      </c>
      <c r="D27" s="264" t="s">
        <v>185</v>
      </c>
      <c r="E27" s="264">
        <v>30.93</v>
      </c>
      <c r="F27" s="264" t="s">
        <v>98</v>
      </c>
      <c r="G27" s="263">
        <v>0</v>
      </c>
      <c r="H27" s="265">
        <f t="shared" si="10"/>
        <v>0</v>
      </c>
      <c r="I27" s="263">
        <v>0</v>
      </c>
      <c r="J27" s="265">
        <f t="shared" si="0"/>
        <v>0</v>
      </c>
      <c r="K27" s="266">
        <f t="shared" si="1"/>
        <v>0</v>
      </c>
      <c r="L27" s="267">
        <f t="shared" si="1"/>
        <v>0</v>
      </c>
      <c r="N27" s="263">
        <v>12</v>
      </c>
      <c r="O27" s="265">
        <f t="shared" si="2"/>
        <v>371.16</v>
      </c>
      <c r="P27" s="263">
        <v>0</v>
      </c>
      <c r="Q27" s="265">
        <f t="shared" si="3"/>
        <v>0</v>
      </c>
      <c r="R27" s="266">
        <f t="shared" si="4"/>
        <v>12</v>
      </c>
      <c r="S27" s="267">
        <f t="shared" si="4"/>
        <v>371.16</v>
      </c>
      <c r="U27" s="263">
        <v>0</v>
      </c>
      <c r="V27" s="265">
        <f t="shared" si="5"/>
        <v>0</v>
      </c>
      <c r="W27" s="263">
        <v>0</v>
      </c>
      <c r="X27" s="265">
        <f t="shared" si="6"/>
        <v>0</v>
      </c>
      <c r="Y27" s="266">
        <f t="shared" si="7"/>
        <v>0</v>
      </c>
      <c r="Z27" s="267">
        <f t="shared" si="7"/>
        <v>0</v>
      </c>
      <c r="AB27" s="263">
        <f t="shared" si="8"/>
        <v>12</v>
      </c>
      <c r="AC27" s="252">
        <f t="shared" si="8"/>
        <v>371.16</v>
      </c>
      <c r="AD27" s="263">
        <f t="shared" si="8"/>
        <v>0</v>
      </c>
      <c r="AE27" s="252">
        <f t="shared" si="8"/>
        <v>0</v>
      </c>
      <c r="AF27" s="266">
        <f t="shared" si="8"/>
        <v>12</v>
      </c>
      <c r="AG27" s="267">
        <f t="shared" si="9"/>
        <v>371.16</v>
      </c>
      <c r="AI27" s="252">
        <f t="shared" si="11"/>
        <v>29.46</v>
      </c>
      <c r="AJ27" s="308">
        <v>30.93</v>
      </c>
      <c r="AK27" s="308"/>
      <c r="AL27" s="319">
        <f t="shared" si="15"/>
        <v>0</v>
      </c>
      <c r="AM27" s="319">
        <f t="shared" si="16"/>
        <v>0</v>
      </c>
      <c r="AN27" s="319">
        <f t="shared" si="17"/>
        <v>0</v>
      </c>
      <c r="AO27" s="319">
        <v>2080</v>
      </c>
    </row>
    <row r="28" spans="1:41" ht="17.45" customHeight="1" x14ac:dyDescent="0.4">
      <c r="A28" s="264" t="s">
        <v>188</v>
      </c>
      <c r="B28" s="264">
        <v>218</v>
      </c>
      <c r="C28" s="250" t="s">
        <v>194</v>
      </c>
      <c r="D28" s="264" t="s">
        <v>185</v>
      </c>
      <c r="E28" s="264">
        <v>28.22</v>
      </c>
      <c r="F28" s="264" t="s">
        <v>98</v>
      </c>
      <c r="G28" s="263">
        <v>24</v>
      </c>
      <c r="H28" s="265">
        <f t="shared" si="10"/>
        <v>677.28</v>
      </c>
      <c r="I28" s="263">
        <v>3.5</v>
      </c>
      <c r="J28" s="265">
        <f t="shared" si="0"/>
        <v>148.16</v>
      </c>
      <c r="K28" s="266">
        <f t="shared" si="1"/>
        <v>27.5</v>
      </c>
      <c r="L28" s="267">
        <f t="shared" si="1"/>
        <v>825.43999999999994</v>
      </c>
      <c r="N28" s="263">
        <v>48.5</v>
      </c>
      <c r="O28" s="265">
        <f t="shared" si="2"/>
        <v>1368.67</v>
      </c>
      <c r="P28" s="263">
        <v>5.5</v>
      </c>
      <c r="Q28" s="265">
        <f t="shared" si="3"/>
        <v>232.82</v>
      </c>
      <c r="R28" s="266">
        <f t="shared" si="4"/>
        <v>54</v>
      </c>
      <c r="S28" s="267">
        <f t="shared" si="4"/>
        <v>1601.49</v>
      </c>
      <c r="U28" s="263">
        <v>0</v>
      </c>
      <c r="V28" s="265">
        <f t="shared" si="5"/>
        <v>0</v>
      </c>
      <c r="W28" s="263">
        <v>0</v>
      </c>
      <c r="X28" s="265">
        <f t="shared" si="6"/>
        <v>0</v>
      </c>
      <c r="Y28" s="266">
        <f t="shared" si="7"/>
        <v>0</v>
      </c>
      <c r="Z28" s="267">
        <f t="shared" si="7"/>
        <v>0</v>
      </c>
      <c r="AB28" s="263">
        <f t="shared" si="8"/>
        <v>72.5</v>
      </c>
      <c r="AC28" s="252">
        <f t="shared" si="8"/>
        <v>2045.95</v>
      </c>
      <c r="AD28" s="263">
        <f t="shared" si="8"/>
        <v>9</v>
      </c>
      <c r="AE28" s="252">
        <f t="shared" si="8"/>
        <v>380.98</v>
      </c>
      <c r="AF28" s="266">
        <f t="shared" si="8"/>
        <v>81.5</v>
      </c>
      <c r="AG28" s="267">
        <f t="shared" si="9"/>
        <v>2426.9299999999998</v>
      </c>
      <c r="AI28" s="252">
        <f t="shared" si="11"/>
        <v>26.88</v>
      </c>
      <c r="AJ28" s="308">
        <v>28.22</v>
      </c>
      <c r="AK28" s="308"/>
      <c r="AL28" s="319">
        <f t="shared" si="15"/>
        <v>24</v>
      </c>
      <c r="AM28" s="319">
        <f t="shared" si="16"/>
        <v>3.5</v>
      </c>
      <c r="AN28" s="319">
        <f t="shared" si="17"/>
        <v>27.5</v>
      </c>
      <c r="AO28" s="319">
        <v>2080</v>
      </c>
    </row>
    <row r="29" spans="1:41" ht="17.45" customHeight="1" x14ac:dyDescent="0.4">
      <c r="A29" s="264" t="s">
        <v>204</v>
      </c>
      <c r="B29" s="264">
        <v>83</v>
      </c>
      <c r="C29" t="s">
        <v>385</v>
      </c>
      <c r="D29" s="264" t="s">
        <v>185</v>
      </c>
      <c r="E29" s="264">
        <v>35.18</v>
      </c>
      <c r="F29" s="264" t="s">
        <v>98</v>
      </c>
      <c r="G29" s="263">
        <v>2.5</v>
      </c>
      <c r="H29" s="265">
        <f t="shared" si="10"/>
        <v>87.95</v>
      </c>
      <c r="I29" s="263"/>
      <c r="J29" s="265">
        <f t="shared" si="0"/>
        <v>0</v>
      </c>
      <c r="K29" s="266">
        <f t="shared" si="1"/>
        <v>2.5</v>
      </c>
      <c r="L29" s="267">
        <f t="shared" si="1"/>
        <v>87.95</v>
      </c>
      <c r="N29" s="263">
        <v>45.5</v>
      </c>
      <c r="O29" s="265">
        <f t="shared" si="2"/>
        <v>1600.69</v>
      </c>
      <c r="P29" s="263">
        <v>0</v>
      </c>
      <c r="Q29" s="265">
        <f t="shared" si="3"/>
        <v>0</v>
      </c>
      <c r="R29" s="266">
        <f t="shared" si="4"/>
        <v>45.5</v>
      </c>
      <c r="S29" s="267">
        <f t="shared" si="4"/>
        <v>1600.69</v>
      </c>
      <c r="U29" s="263">
        <v>0</v>
      </c>
      <c r="V29" s="265">
        <f t="shared" si="5"/>
        <v>0</v>
      </c>
      <c r="W29" s="263">
        <v>0</v>
      </c>
      <c r="X29" s="265">
        <f t="shared" si="6"/>
        <v>0</v>
      </c>
      <c r="Y29" s="266">
        <f t="shared" si="7"/>
        <v>0</v>
      </c>
      <c r="Z29" s="267">
        <f t="shared" si="7"/>
        <v>0</v>
      </c>
      <c r="AB29" s="263">
        <f t="shared" si="8"/>
        <v>48</v>
      </c>
      <c r="AC29" s="252">
        <f t="shared" si="8"/>
        <v>1688.64</v>
      </c>
      <c r="AD29" s="263">
        <f t="shared" si="8"/>
        <v>0</v>
      </c>
      <c r="AE29" s="252">
        <f t="shared" si="8"/>
        <v>0</v>
      </c>
      <c r="AF29" s="266">
        <f t="shared" si="8"/>
        <v>48</v>
      </c>
      <c r="AG29" s="267">
        <f t="shared" si="9"/>
        <v>1688.64</v>
      </c>
      <c r="AI29" s="252">
        <f t="shared" si="11"/>
        <v>33.5</v>
      </c>
      <c r="AJ29" s="308">
        <v>35.18</v>
      </c>
      <c r="AK29" s="308"/>
      <c r="AL29" s="319">
        <f t="shared" si="15"/>
        <v>2.5</v>
      </c>
      <c r="AM29" s="319">
        <f t="shared" si="16"/>
        <v>0</v>
      </c>
      <c r="AN29" s="319">
        <f t="shared" si="17"/>
        <v>2.5</v>
      </c>
      <c r="AO29" s="319">
        <v>2080</v>
      </c>
    </row>
    <row r="30" spans="1:41" ht="17.45" customHeight="1" x14ac:dyDescent="0.4">
      <c r="A30" s="264" t="s">
        <v>204</v>
      </c>
      <c r="B30" s="264">
        <v>170</v>
      </c>
      <c r="C30" s="250" t="s">
        <v>194</v>
      </c>
      <c r="D30" s="254" t="s">
        <v>185</v>
      </c>
      <c r="E30" s="287">
        <v>27.1</v>
      </c>
      <c r="F30" s="264" t="s">
        <v>98</v>
      </c>
      <c r="G30" s="263">
        <v>10</v>
      </c>
      <c r="H30" s="265">
        <f t="shared" si="10"/>
        <v>271</v>
      </c>
      <c r="I30" s="263"/>
      <c r="J30" s="265">
        <f t="shared" si="0"/>
        <v>0</v>
      </c>
      <c r="K30" s="266">
        <f t="shared" si="1"/>
        <v>10</v>
      </c>
      <c r="L30" s="267">
        <f t="shared" si="1"/>
        <v>271</v>
      </c>
      <c r="N30" s="263">
        <v>18.5</v>
      </c>
      <c r="O30" s="265">
        <f t="shared" si="2"/>
        <v>501.35</v>
      </c>
      <c r="P30" s="263">
        <v>0.5</v>
      </c>
      <c r="Q30" s="265">
        <f t="shared" si="3"/>
        <v>20.329999999999998</v>
      </c>
      <c r="R30" s="266">
        <f t="shared" si="4"/>
        <v>19</v>
      </c>
      <c r="S30" s="267">
        <f t="shared" si="4"/>
        <v>521.68000000000006</v>
      </c>
      <c r="U30" s="263">
        <v>0</v>
      </c>
      <c r="V30" s="265">
        <f t="shared" si="5"/>
        <v>0</v>
      </c>
      <c r="W30" s="263">
        <v>0</v>
      </c>
      <c r="X30" s="265">
        <f t="shared" si="6"/>
        <v>0</v>
      </c>
      <c r="Y30" s="266">
        <f t="shared" si="7"/>
        <v>0</v>
      </c>
      <c r="Z30" s="267">
        <f t="shared" si="7"/>
        <v>0</v>
      </c>
      <c r="AB30" s="263">
        <f t="shared" si="8"/>
        <v>28.5</v>
      </c>
      <c r="AC30" s="252">
        <f t="shared" si="8"/>
        <v>772.35</v>
      </c>
      <c r="AD30" s="263">
        <f t="shared" si="8"/>
        <v>0.5</v>
      </c>
      <c r="AE30" s="252">
        <f t="shared" si="8"/>
        <v>20.329999999999998</v>
      </c>
      <c r="AF30" s="266">
        <f t="shared" si="8"/>
        <v>29</v>
      </c>
      <c r="AG30" s="267">
        <f t="shared" si="9"/>
        <v>792.68000000000006</v>
      </c>
      <c r="AI30" s="252">
        <f t="shared" si="11"/>
        <v>25.81</v>
      </c>
      <c r="AJ30" s="309">
        <v>27.1</v>
      </c>
      <c r="AK30" s="309"/>
      <c r="AL30" s="319">
        <f t="shared" si="15"/>
        <v>10</v>
      </c>
      <c r="AM30" s="319">
        <f t="shared" si="16"/>
        <v>0</v>
      </c>
      <c r="AN30" s="319">
        <f t="shared" si="17"/>
        <v>10</v>
      </c>
      <c r="AO30" s="319">
        <v>2080</v>
      </c>
    </row>
    <row r="31" spans="1:41" ht="17.45" customHeight="1" x14ac:dyDescent="0.4">
      <c r="A31" s="254" t="s">
        <v>188</v>
      </c>
      <c r="B31" s="254">
        <v>109</v>
      </c>
      <c r="C31" s="253" t="s">
        <v>370</v>
      </c>
      <c r="D31" s="264" t="s">
        <v>185</v>
      </c>
      <c r="E31" s="264">
        <v>46.44</v>
      </c>
      <c r="F31" s="264" t="s">
        <v>98</v>
      </c>
      <c r="G31" s="263">
        <v>0</v>
      </c>
      <c r="H31" s="265">
        <f t="shared" si="10"/>
        <v>0</v>
      </c>
      <c r="I31" s="263">
        <v>0</v>
      </c>
      <c r="J31" s="265">
        <f t="shared" si="0"/>
        <v>0</v>
      </c>
      <c r="K31" s="266">
        <f t="shared" si="1"/>
        <v>0</v>
      </c>
      <c r="L31" s="267">
        <f t="shared" si="1"/>
        <v>0</v>
      </c>
      <c r="N31" s="263">
        <v>84.5</v>
      </c>
      <c r="O31" s="265">
        <f t="shared" si="2"/>
        <v>3924.18</v>
      </c>
      <c r="P31" s="263">
        <v>0</v>
      </c>
      <c r="Q31" s="265">
        <f t="shared" si="3"/>
        <v>0</v>
      </c>
      <c r="R31" s="266">
        <f t="shared" si="4"/>
        <v>84.5</v>
      </c>
      <c r="S31" s="267">
        <f t="shared" si="4"/>
        <v>3924.18</v>
      </c>
      <c r="T31" s="252"/>
      <c r="U31" s="263">
        <v>0</v>
      </c>
      <c r="V31" s="265">
        <f t="shared" si="5"/>
        <v>0</v>
      </c>
      <c r="W31" s="263">
        <v>0</v>
      </c>
      <c r="X31" s="265">
        <f t="shared" si="6"/>
        <v>0</v>
      </c>
      <c r="Y31" s="266">
        <f t="shared" si="7"/>
        <v>0</v>
      </c>
      <c r="Z31" s="267">
        <f t="shared" si="7"/>
        <v>0</v>
      </c>
      <c r="AA31" s="252"/>
      <c r="AB31" s="263">
        <f t="shared" si="8"/>
        <v>84.5</v>
      </c>
      <c r="AC31" s="252">
        <f t="shared" si="8"/>
        <v>3924.18</v>
      </c>
      <c r="AD31" s="263">
        <f t="shared" si="8"/>
        <v>0</v>
      </c>
      <c r="AE31" s="252">
        <f t="shared" si="8"/>
        <v>0</v>
      </c>
      <c r="AF31" s="266">
        <f t="shared" si="8"/>
        <v>84.5</v>
      </c>
      <c r="AG31" s="267">
        <f t="shared" si="9"/>
        <v>3924.18</v>
      </c>
      <c r="AI31" s="252">
        <f t="shared" si="11"/>
        <v>44.23</v>
      </c>
      <c r="AJ31" s="308">
        <v>46.44</v>
      </c>
      <c r="AK31" s="308"/>
      <c r="AL31" s="319">
        <f t="shared" si="15"/>
        <v>0</v>
      </c>
      <c r="AM31" s="319">
        <f t="shared" si="16"/>
        <v>0</v>
      </c>
      <c r="AN31" s="319">
        <f t="shared" si="17"/>
        <v>0</v>
      </c>
      <c r="AO31" s="319">
        <v>2080</v>
      </c>
    </row>
    <row r="32" spans="1:41" ht="17.45" customHeight="1" x14ac:dyDescent="0.4">
      <c r="A32" s="313" t="s">
        <v>211</v>
      </c>
      <c r="B32" s="313">
        <v>217</v>
      </c>
      <c r="C32" s="314" t="s">
        <v>212</v>
      </c>
      <c r="D32" s="270" t="s">
        <v>185</v>
      </c>
      <c r="E32" s="270">
        <v>17.690000000000001</v>
      </c>
      <c r="F32" s="270" t="s">
        <v>98</v>
      </c>
      <c r="G32" s="315">
        <f>G113</f>
        <v>8</v>
      </c>
      <c r="H32" s="316">
        <f t="shared" si="10"/>
        <v>141.52000000000001</v>
      </c>
      <c r="I32" s="315">
        <v>0.59</v>
      </c>
      <c r="J32" s="316">
        <f t="shared" si="0"/>
        <v>15.66</v>
      </c>
      <c r="K32" s="315">
        <f t="shared" si="1"/>
        <v>8.59</v>
      </c>
      <c r="L32" s="317">
        <f t="shared" si="1"/>
        <v>157.18</v>
      </c>
      <c r="M32" s="317"/>
      <c r="N32" s="315">
        <f>N113</f>
        <v>0</v>
      </c>
      <c r="O32" s="316">
        <f t="shared" si="2"/>
        <v>0</v>
      </c>
      <c r="P32" s="315">
        <f>P113</f>
        <v>0</v>
      </c>
      <c r="Q32" s="316">
        <f t="shared" si="3"/>
        <v>0</v>
      </c>
      <c r="R32" s="315">
        <f t="shared" si="4"/>
        <v>0</v>
      </c>
      <c r="S32" s="317">
        <f t="shared" si="4"/>
        <v>0</v>
      </c>
      <c r="T32" s="318"/>
      <c r="U32" s="315">
        <v>0</v>
      </c>
      <c r="V32" s="316">
        <f t="shared" si="5"/>
        <v>0</v>
      </c>
      <c r="W32" s="315">
        <v>0</v>
      </c>
      <c r="X32" s="316">
        <f t="shared" si="6"/>
        <v>0</v>
      </c>
      <c r="Y32" s="315">
        <f t="shared" si="7"/>
        <v>0</v>
      </c>
      <c r="Z32" s="317">
        <f t="shared" si="7"/>
        <v>0</v>
      </c>
      <c r="AA32" s="318"/>
      <c r="AB32" s="315">
        <f t="shared" si="8"/>
        <v>8</v>
      </c>
      <c r="AC32" s="317">
        <f t="shared" si="8"/>
        <v>141.52000000000001</v>
      </c>
      <c r="AD32" s="315">
        <f t="shared" si="8"/>
        <v>0.59</v>
      </c>
      <c r="AE32" s="317">
        <f t="shared" si="8"/>
        <v>15.66</v>
      </c>
      <c r="AF32" s="315">
        <f t="shared" si="8"/>
        <v>8.59</v>
      </c>
      <c r="AG32" s="317">
        <f t="shared" si="9"/>
        <v>157.18</v>
      </c>
      <c r="AI32" s="252">
        <f t="shared" si="11"/>
        <v>16.850000000000001</v>
      </c>
      <c r="AJ32" s="308">
        <v>17.690000000000001</v>
      </c>
      <c r="AK32" s="308"/>
      <c r="AL32" s="319">
        <f t="shared" si="15"/>
        <v>8</v>
      </c>
      <c r="AM32" s="319">
        <f t="shared" si="16"/>
        <v>0.59</v>
      </c>
      <c r="AN32" s="319">
        <f t="shared" si="17"/>
        <v>8.59</v>
      </c>
      <c r="AO32" s="319">
        <v>2080</v>
      </c>
    </row>
    <row r="33" spans="1:41" ht="17.45" customHeight="1" x14ac:dyDescent="0.4">
      <c r="A33" s="264" t="s">
        <v>211</v>
      </c>
      <c r="B33" s="264">
        <v>199</v>
      </c>
      <c r="C33" s="250" t="s">
        <v>212</v>
      </c>
      <c r="D33" s="264" t="s">
        <v>185</v>
      </c>
      <c r="E33" s="264">
        <v>21</v>
      </c>
      <c r="F33" s="264" t="s">
        <v>98</v>
      </c>
      <c r="G33" s="266">
        <v>94</v>
      </c>
      <c r="H33" s="265">
        <f t="shared" si="10"/>
        <v>1974</v>
      </c>
      <c r="I33" s="266">
        <v>16</v>
      </c>
      <c r="J33" s="265">
        <f t="shared" si="0"/>
        <v>504</v>
      </c>
      <c r="K33" s="266">
        <f t="shared" si="1"/>
        <v>110</v>
      </c>
      <c r="L33" s="267">
        <f t="shared" si="1"/>
        <v>2478</v>
      </c>
      <c r="M33" s="267"/>
      <c r="N33" s="266">
        <v>0</v>
      </c>
      <c r="O33" s="265">
        <f t="shared" si="2"/>
        <v>0</v>
      </c>
      <c r="P33" s="266">
        <v>0</v>
      </c>
      <c r="Q33" s="265">
        <f t="shared" si="3"/>
        <v>0</v>
      </c>
      <c r="R33" s="266">
        <f t="shared" si="4"/>
        <v>0</v>
      </c>
      <c r="S33" s="267">
        <f t="shared" si="4"/>
        <v>0</v>
      </c>
      <c r="U33" s="266">
        <v>0</v>
      </c>
      <c r="V33" s="265">
        <f t="shared" si="5"/>
        <v>0</v>
      </c>
      <c r="W33" s="266">
        <v>0</v>
      </c>
      <c r="X33" s="265">
        <f t="shared" si="6"/>
        <v>0</v>
      </c>
      <c r="Y33" s="266">
        <f t="shared" si="7"/>
        <v>0</v>
      </c>
      <c r="Z33" s="267">
        <f t="shared" si="7"/>
        <v>0</v>
      </c>
      <c r="AB33" s="266">
        <f t="shared" si="8"/>
        <v>94</v>
      </c>
      <c r="AC33" s="267">
        <f t="shared" si="8"/>
        <v>1974</v>
      </c>
      <c r="AD33" s="266">
        <f t="shared" si="8"/>
        <v>16</v>
      </c>
      <c r="AE33" s="267">
        <f t="shared" si="8"/>
        <v>504</v>
      </c>
      <c r="AF33" s="266">
        <f t="shared" si="8"/>
        <v>110</v>
      </c>
      <c r="AG33" s="267">
        <f t="shared" si="9"/>
        <v>2478</v>
      </c>
      <c r="AI33" s="252">
        <f t="shared" si="11"/>
        <v>20</v>
      </c>
      <c r="AJ33" s="308">
        <v>21</v>
      </c>
      <c r="AK33" s="308"/>
      <c r="AL33" s="319">
        <f t="shared" si="15"/>
        <v>94</v>
      </c>
      <c r="AM33" s="319">
        <f t="shared" si="16"/>
        <v>16</v>
      </c>
      <c r="AN33" s="319">
        <f t="shared" si="17"/>
        <v>110</v>
      </c>
      <c r="AO33" s="319">
        <v>2080</v>
      </c>
    </row>
    <row r="34" spans="1:41" ht="17.45" customHeight="1" x14ac:dyDescent="0.4">
      <c r="A34" s="264" t="s">
        <v>211</v>
      </c>
      <c r="B34" s="264">
        <v>49</v>
      </c>
      <c r="C34" s="250" t="s">
        <v>212</v>
      </c>
      <c r="D34" s="264" t="s">
        <v>185</v>
      </c>
      <c r="E34" s="264">
        <v>22.14</v>
      </c>
      <c r="F34" s="264" t="s">
        <v>98</v>
      </c>
      <c r="G34" s="266">
        <v>134.5</v>
      </c>
      <c r="H34" s="265">
        <f t="shared" si="10"/>
        <v>2977.83</v>
      </c>
      <c r="I34" s="266">
        <v>29.5</v>
      </c>
      <c r="J34" s="265">
        <f t="shared" si="0"/>
        <v>979.7</v>
      </c>
      <c r="K34" s="266">
        <f t="shared" si="1"/>
        <v>164</v>
      </c>
      <c r="L34" s="267">
        <f t="shared" si="1"/>
        <v>3957.5299999999997</v>
      </c>
      <c r="M34" s="267"/>
      <c r="N34" s="266">
        <v>0</v>
      </c>
      <c r="O34" s="265">
        <f t="shared" si="2"/>
        <v>0</v>
      </c>
      <c r="P34" s="266">
        <v>0</v>
      </c>
      <c r="Q34" s="265">
        <f t="shared" si="3"/>
        <v>0</v>
      </c>
      <c r="R34" s="266">
        <f t="shared" si="4"/>
        <v>0</v>
      </c>
      <c r="S34" s="267">
        <f t="shared" si="4"/>
        <v>0</v>
      </c>
      <c r="U34" s="266">
        <v>0</v>
      </c>
      <c r="V34" s="265">
        <f t="shared" si="5"/>
        <v>0</v>
      </c>
      <c r="W34" s="266">
        <v>0</v>
      </c>
      <c r="X34" s="265">
        <f t="shared" si="6"/>
        <v>0</v>
      </c>
      <c r="Y34" s="266">
        <f t="shared" si="7"/>
        <v>0</v>
      </c>
      <c r="Z34" s="267">
        <f t="shared" si="7"/>
        <v>0</v>
      </c>
      <c r="AB34" s="266">
        <f t="shared" si="8"/>
        <v>134.5</v>
      </c>
      <c r="AC34" s="267">
        <f t="shared" si="8"/>
        <v>2977.83</v>
      </c>
      <c r="AD34" s="266">
        <f t="shared" si="8"/>
        <v>29.5</v>
      </c>
      <c r="AE34" s="267">
        <f t="shared" si="8"/>
        <v>979.7</v>
      </c>
      <c r="AF34" s="266">
        <f t="shared" si="8"/>
        <v>164</v>
      </c>
      <c r="AG34" s="267">
        <f t="shared" si="9"/>
        <v>3957.5299999999997</v>
      </c>
      <c r="AI34" s="252">
        <f t="shared" si="11"/>
        <v>21.09</v>
      </c>
      <c r="AJ34" s="308">
        <v>22.14</v>
      </c>
      <c r="AK34" s="308"/>
      <c r="AL34" s="319">
        <f t="shared" si="15"/>
        <v>134.5</v>
      </c>
      <c r="AM34" s="319">
        <f t="shared" si="16"/>
        <v>29.5</v>
      </c>
      <c r="AN34" s="319">
        <f t="shared" si="17"/>
        <v>164</v>
      </c>
      <c r="AO34" s="319">
        <v>2080</v>
      </c>
    </row>
    <row r="35" spans="1:41" ht="17.45" customHeight="1" x14ac:dyDescent="0.4">
      <c r="A35" s="313" t="s">
        <v>207</v>
      </c>
      <c r="B35" s="313">
        <v>41</v>
      </c>
      <c r="C35" s="314" t="s">
        <v>220</v>
      </c>
      <c r="D35" s="270" t="s">
        <v>185</v>
      </c>
      <c r="E35" s="270">
        <v>31.05</v>
      </c>
      <c r="F35" s="270" t="s">
        <v>98</v>
      </c>
      <c r="G35" s="315">
        <f>G114</f>
        <v>58.371999999999986</v>
      </c>
      <c r="H35" s="316">
        <f t="shared" si="10"/>
        <v>1812.45</v>
      </c>
      <c r="I35" s="315">
        <f>I114</f>
        <v>18.416</v>
      </c>
      <c r="J35" s="316">
        <f t="shared" si="0"/>
        <v>857.73</v>
      </c>
      <c r="K35" s="315">
        <f t="shared" si="1"/>
        <v>76.787999999999982</v>
      </c>
      <c r="L35" s="317">
        <f t="shared" si="1"/>
        <v>2670.1800000000003</v>
      </c>
      <c r="M35" s="317"/>
      <c r="N35" s="315">
        <f>N114</f>
        <v>0</v>
      </c>
      <c r="O35" s="316">
        <f t="shared" si="2"/>
        <v>0</v>
      </c>
      <c r="P35" s="315">
        <f>P114</f>
        <v>0</v>
      </c>
      <c r="Q35" s="316">
        <f t="shared" si="3"/>
        <v>0</v>
      </c>
      <c r="R35" s="315">
        <f t="shared" si="4"/>
        <v>0</v>
      </c>
      <c r="S35" s="317">
        <f t="shared" si="4"/>
        <v>0</v>
      </c>
      <c r="T35" s="318"/>
      <c r="U35" s="315">
        <v>0</v>
      </c>
      <c r="V35" s="316">
        <f t="shared" si="5"/>
        <v>0</v>
      </c>
      <c r="W35" s="315">
        <v>0</v>
      </c>
      <c r="X35" s="316">
        <f t="shared" si="6"/>
        <v>0</v>
      </c>
      <c r="Y35" s="315">
        <f t="shared" si="7"/>
        <v>0</v>
      </c>
      <c r="Z35" s="317">
        <f t="shared" si="7"/>
        <v>0</v>
      </c>
      <c r="AA35" s="318"/>
      <c r="AB35" s="315">
        <f t="shared" si="8"/>
        <v>58.371999999999986</v>
      </c>
      <c r="AC35" s="317">
        <f t="shared" si="8"/>
        <v>1812.45</v>
      </c>
      <c r="AD35" s="315">
        <f t="shared" si="8"/>
        <v>18.416</v>
      </c>
      <c r="AE35" s="317">
        <f t="shared" si="8"/>
        <v>857.73</v>
      </c>
      <c r="AF35" s="315">
        <f t="shared" si="8"/>
        <v>76.787999999999982</v>
      </c>
      <c r="AG35" s="317">
        <f t="shared" si="9"/>
        <v>2670.1800000000003</v>
      </c>
      <c r="AI35" s="252">
        <f t="shared" si="11"/>
        <v>29.57</v>
      </c>
      <c r="AJ35" s="308">
        <v>31.05</v>
      </c>
      <c r="AK35" s="308"/>
      <c r="AL35" s="319">
        <f t="shared" si="15"/>
        <v>58.371999999999986</v>
      </c>
      <c r="AM35" s="319">
        <f t="shared" si="16"/>
        <v>18.416</v>
      </c>
      <c r="AN35" s="319">
        <f t="shared" si="17"/>
        <v>76.787999999999982</v>
      </c>
      <c r="AO35" s="319">
        <v>2080</v>
      </c>
    </row>
    <row r="36" spans="1:41" ht="17.45" customHeight="1" x14ac:dyDescent="0.4">
      <c r="A36" s="264" t="s">
        <v>207</v>
      </c>
      <c r="B36" s="264">
        <v>56</v>
      </c>
      <c r="C36" s="250" t="s">
        <v>381</v>
      </c>
      <c r="D36" s="264" t="s">
        <v>185</v>
      </c>
      <c r="E36" s="264">
        <v>34.61</v>
      </c>
      <c r="F36" s="264" t="s">
        <v>98</v>
      </c>
      <c r="G36" s="263">
        <v>73.872719999999987</v>
      </c>
      <c r="H36" s="265">
        <f t="shared" si="10"/>
        <v>2556.73</v>
      </c>
      <c r="I36" s="263">
        <v>5.5648799999999987</v>
      </c>
      <c r="J36" s="265">
        <f t="shared" si="0"/>
        <v>288.89999999999998</v>
      </c>
      <c r="K36" s="266">
        <f t="shared" si="1"/>
        <v>79.437599999999989</v>
      </c>
      <c r="L36" s="267">
        <f t="shared" si="1"/>
        <v>2845.63</v>
      </c>
      <c r="N36" s="263">
        <v>51.33527999999999</v>
      </c>
      <c r="O36" s="265">
        <f t="shared" si="2"/>
        <v>1776.71</v>
      </c>
      <c r="P36" s="263">
        <v>3.867119999999999</v>
      </c>
      <c r="Q36" s="265">
        <f t="shared" si="3"/>
        <v>200.76</v>
      </c>
      <c r="R36" s="266">
        <f t="shared" si="4"/>
        <v>55.20239999999999</v>
      </c>
      <c r="S36" s="267">
        <f t="shared" si="4"/>
        <v>1977.47</v>
      </c>
      <c r="U36" s="263">
        <v>0</v>
      </c>
      <c r="V36" s="265">
        <f t="shared" si="5"/>
        <v>0</v>
      </c>
      <c r="W36" s="263">
        <v>0</v>
      </c>
      <c r="X36" s="265">
        <f t="shared" si="6"/>
        <v>0</v>
      </c>
      <c r="Y36" s="266">
        <f t="shared" si="7"/>
        <v>0</v>
      </c>
      <c r="Z36" s="267">
        <f t="shared" si="7"/>
        <v>0</v>
      </c>
      <c r="AB36" s="263">
        <f t="shared" si="8"/>
        <v>125.20799999999997</v>
      </c>
      <c r="AC36" s="252">
        <f t="shared" si="8"/>
        <v>4333.4400000000005</v>
      </c>
      <c r="AD36" s="263">
        <f t="shared" si="8"/>
        <v>9.4319999999999986</v>
      </c>
      <c r="AE36" s="252">
        <f t="shared" si="8"/>
        <v>489.65999999999997</v>
      </c>
      <c r="AF36" s="266">
        <f t="shared" si="8"/>
        <v>134.63999999999999</v>
      </c>
      <c r="AG36" s="267">
        <f t="shared" si="9"/>
        <v>4823.1000000000004</v>
      </c>
      <c r="AI36" s="252">
        <f t="shared" si="11"/>
        <v>32.96</v>
      </c>
      <c r="AJ36" s="308">
        <v>34.61</v>
      </c>
      <c r="AK36" s="308"/>
      <c r="AL36" s="319">
        <f t="shared" si="15"/>
        <v>73.872719999999987</v>
      </c>
      <c r="AM36" s="319">
        <f t="shared" si="16"/>
        <v>5.5648799999999987</v>
      </c>
      <c r="AN36" s="319">
        <f t="shared" si="17"/>
        <v>79.437599999999989</v>
      </c>
      <c r="AO36" s="319">
        <v>2080</v>
      </c>
    </row>
    <row r="37" spans="1:41" ht="17.45" customHeight="1" x14ac:dyDescent="0.4">
      <c r="A37" s="264" t="s">
        <v>218</v>
      </c>
      <c r="B37" s="264">
        <v>95</v>
      </c>
      <c r="C37" t="s">
        <v>384</v>
      </c>
      <c r="D37" s="264" t="s">
        <v>185</v>
      </c>
      <c r="E37" s="264">
        <v>39.32</v>
      </c>
      <c r="F37" s="264" t="s">
        <v>98</v>
      </c>
      <c r="G37" s="263">
        <v>1736.5</v>
      </c>
      <c r="H37" s="265">
        <f t="shared" si="10"/>
        <v>68279.179999999993</v>
      </c>
      <c r="I37" s="263">
        <v>275</v>
      </c>
      <c r="J37" s="265">
        <f t="shared" si="0"/>
        <v>16219.5</v>
      </c>
      <c r="K37" s="266">
        <f t="shared" ref="K37:L63" si="18">+G37+I37</f>
        <v>2011.5</v>
      </c>
      <c r="L37" s="267">
        <f t="shared" si="18"/>
        <v>84498.68</v>
      </c>
      <c r="N37" s="263">
        <v>19.5</v>
      </c>
      <c r="O37" s="265">
        <f t="shared" si="2"/>
        <v>766.74</v>
      </c>
      <c r="P37" s="263">
        <v>0</v>
      </c>
      <c r="Q37" s="265">
        <f t="shared" si="3"/>
        <v>0</v>
      </c>
      <c r="R37" s="266">
        <f t="shared" ref="R37:S63" si="19">+N37+P37</f>
        <v>19.5</v>
      </c>
      <c r="S37" s="267">
        <f t="shared" si="19"/>
        <v>766.74</v>
      </c>
      <c r="U37" s="263">
        <v>20</v>
      </c>
      <c r="V37" s="265">
        <f t="shared" si="5"/>
        <v>786.4</v>
      </c>
      <c r="W37" s="263">
        <v>19.5</v>
      </c>
      <c r="X37" s="265">
        <f t="shared" si="6"/>
        <v>1150.1099999999999</v>
      </c>
      <c r="Y37" s="266">
        <f t="shared" ref="Y37:Z63" si="20">+U37+W37</f>
        <v>39.5</v>
      </c>
      <c r="Z37" s="267">
        <f t="shared" si="20"/>
        <v>1936.5099999999998</v>
      </c>
      <c r="AB37" s="263">
        <f t="shared" ref="AB37:AF63" si="21">+G37+N37+U37</f>
        <v>1776</v>
      </c>
      <c r="AC37" s="252">
        <f t="shared" si="21"/>
        <v>69832.319999999992</v>
      </c>
      <c r="AD37" s="263">
        <f t="shared" si="21"/>
        <v>294.5</v>
      </c>
      <c r="AE37" s="252">
        <f t="shared" si="21"/>
        <v>17369.61</v>
      </c>
      <c r="AF37" s="266">
        <f t="shared" si="21"/>
        <v>2070.5</v>
      </c>
      <c r="AG37" s="267">
        <f t="shared" si="9"/>
        <v>87201.93</v>
      </c>
      <c r="AI37" s="252">
        <f t="shared" si="11"/>
        <v>37.450000000000003</v>
      </c>
      <c r="AJ37" s="308">
        <v>39.32</v>
      </c>
      <c r="AK37" s="308"/>
      <c r="AL37" s="319">
        <f t="shared" si="15"/>
        <v>1736.5</v>
      </c>
      <c r="AM37" s="319">
        <f t="shared" si="16"/>
        <v>275</v>
      </c>
      <c r="AN37" s="319">
        <f t="shared" si="17"/>
        <v>2011.5</v>
      </c>
      <c r="AO37" s="319">
        <v>2080</v>
      </c>
    </row>
    <row r="38" spans="1:41" ht="17.45" customHeight="1" x14ac:dyDescent="0.4">
      <c r="A38" s="264" t="s">
        <v>204</v>
      </c>
      <c r="B38" s="264">
        <v>30</v>
      </c>
      <c r="C38" s="250" t="s">
        <v>205</v>
      </c>
      <c r="D38" s="264" t="s">
        <v>185</v>
      </c>
      <c r="E38" s="264">
        <v>33</v>
      </c>
      <c r="F38" s="264" t="s">
        <v>98</v>
      </c>
      <c r="G38" s="263">
        <v>0</v>
      </c>
      <c r="H38" s="265">
        <f t="shared" si="10"/>
        <v>0</v>
      </c>
      <c r="I38" s="263">
        <v>0</v>
      </c>
      <c r="J38" s="265">
        <f t="shared" si="0"/>
        <v>0</v>
      </c>
      <c r="K38" s="266">
        <f t="shared" si="18"/>
        <v>0</v>
      </c>
      <c r="L38" s="267">
        <f t="shared" si="18"/>
        <v>0</v>
      </c>
      <c r="N38" s="263">
        <v>1</v>
      </c>
      <c r="O38" s="265">
        <f t="shared" si="2"/>
        <v>33</v>
      </c>
      <c r="P38" s="263">
        <v>0</v>
      </c>
      <c r="Q38" s="265">
        <f t="shared" si="3"/>
        <v>0</v>
      </c>
      <c r="R38" s="266">
        <f t="shared" si="19"/>
        <v>1</v>
      </c>
      <c r="S38" s="267">
        <f t="shared" si="19"/>
        <v>33</v>
      </c>
      <c r="U38" s="263">
        <v>0</v>
      </c>
      <c r="V38" s="265">
        <f t="shared" si="5"/>
        <v>0</v>
      </c>
      <c r="W38" s="263">
        <v>0</v>
      </c>
      <c r="X38" s="265">
        <f t="shared" si="6"/>
        <v>0</v>
      </c>
      <c r="Y38" s="266">
        <f t="shared" si="20"/>
        <v>0</v>
      </c>
      <c r="Z38" s="267">
        <f t="shared" si="20"/>
        <v>0</v>
      </c>
      <c r="AB38" s="263">
        <f t="shared" si="21"/>
        <v>1</v>
      </c>
      <c r="AC38" s="252">
        <f t="shared" si="21"/>
        <v>33</v>
      </c>
      <c r="AD38" s="263">
        <f t="shared" si="21"/>
        <v>0</v>
      </c>
      <c r="AE38" s="252">
        <f t="shared" si="21"/>
        <v>0</v>
      </c>
      <c r="AF38" s="266">
        <f t="shared" si="21"/>
        <v>1</v>
      </c>
      <c r="AG38" s="267">
        <f t="shared" si="9"/>
        <v>33</v>
      </c>
      <c r="AI38" s="252">
        <f t="shared" si="11"/>
        <v>31.43</v>
      </c>
      <c r="AJ38" s="308">
        <v>33</v>
      </c>
      <c r="AK38" s="308"/>
      <c r="AL38" s="319">
        <f t="shared" si="15"/>
        <v>0</v>
      </c>
      <c r="AM38" s="319">
        <f t="shared" si="16"/>
        <v>0</v>
      </c>
      <c r="AN38" s="319">
        <f t="shared" si="17"/>
        <v>0</v>
      </c>
      <c r="AO38" s="319">
        <v>2080</v>
      </c>
    </row>
    <row r="39" spans="1:41" ht="17.45" customHeight="1" x14ac:dyDescent="0.4">
      <c r="A39" s="264" t="s">
        <v>207</v>
      </c>
      <c r="B39" s="264">
        <v>214</v>
      </c>
      <c r="C39" s="250" t="s">
        <v>210</v>
      </c>
      <c r="D39" s="264" t="s">
        <v>185</v>
      </c>
      <c r="E39" s="264">
        <v>7403.26</v>
      </c>
      <c r="F39" s="264" t="s">
        <v>186</v>
      </c>
      <c r="G39" s="263">
        <v>30.023999999999997</v>
      </c>
      <c r="H39" s="265">
        <f t="shared" si="10"/>
        <v>2778.44</v>
      </c>
      <c r="I39" s="263">
        <v>0</v>
      </c>
      <c r="J39" s="265">
        <f t="shared" si="0"/>
        <v>0</v>
      </c>
      <c r="K39" s="266">
        <f t="shared" si="18"/>
        <v>30.023999999999997</v>
      </c>
      <c r="L39" s="267">
        <f t="shared" si="18"/>
        <v>2778.44</v>
      </c>
      <c r="N39" s="263">
        <v>70.055999999999997</v>
      </c>
      <c r="O39" s="265">
        <f t="shared" si="2"/>
        <v>6483.03</v>
      </c>
      <c r="P39" s="263">
        <v>0</v>
      </c>
      <c r="Q39" s="265">
        <f t="shared" si="3"/>
        <v>0</v>
      </c>
      <c r="R39" s="266">
        <f t="shared" si="19"/>
        <v>70.055999999999997</v>
      </c>
      <c r="S39" s="267">
        <f t="shared" si="19"/>
        <v>6483.03</v>
      </c>
      <c r="U39" s="263">
        <v>0</v>
      </c>
      <c r="V39" s="265">
        <f t="shared" si="5"/>
        <v>0</v>
      </c>
      <c r="W39" s="263">
        <v>0</v>
      </c>
      <c r="X39" s="265">
        <f t="shared" si="6"/>
        <v>0</v>
      </c>
      <c r="Y39" s="266">
        <f t="shared" si="20"/>
        <v>0</v>
      </c>
      <c r="Z39" s="267">
        <f t="shared" si="20"/>
        <v>0</v>
      </c>
      <c r="AB39" s="263">
        <f t="shared" si="21"/>
        <v>100.08</v>
      </c>
      <c r="AC39" s="252">
        <f t="shared" si="21"/>
        <v>9261.4699999999993</v>
      </c>
      <c r="AD39" s="263">
        <f t="shared" si="21"/>
        <v>0</v>
      </c>
      <c r="AE39" s="252">
        <f t="shared" si="21"/>
        <v>0</v>
      </c>
      <c r="AF39" s="266">
        <f t="shared" si="21"/>
        <v>100.08</v>
      </c>
      <c r="AG39" s="267">
        <f t="shared" si="9"/>
        <v>9261.4699999999993</v>
      </c>
      <c r="AI39" s="252">
        <f t="shared" si="11"/>
        <v>7050.72</v>
      </c>
      <c r="AJ39" s="308">
        <v>7403.26</v>
      </c>
      <c r="AK39" s="308"/>
      <c r="AL39" s="319">
        <f t="shared" si="15"/>
        <v>30.023999999999997</v>
      </c>
      <c r="AM39" s="319">
        <f t="shared" si="16"/>
        <v>0</v>
      </c>
      <c r="AN39" s="319">
        <f t="shared" si="17"/>
        <v>30.023999999999997</v>
      </c>
      <c r="AO39" s="319">
        <v>2080</v>
      </c>
    </row>
    <row r="40" spans="1:41" ht="17.45" customHeight="1" x14ac:dyDescent="0.4">
      <c r="A40" s="264" t="s">
        <v>184</v>
      </c>
      <c r="B40" s="264">
        <v>198</v>
      </c>
      <c r="C40" s="250" t="s">
        <v>187</v>
      </c>
      <c r="D40" s="264" t="s">
        <v>185</v>
      </c>
      <c r="E40" s="264">
        <v>2751.77</v>
      </c>
      <c r="F40" s="264" t="s">
        <v>186</v>
      </c>
      <c r="G40" s="263">
        <v>0</v>
      </c>
      <c r="H40" s="265">
        <f t="shared" si="10"/>
        <v>0</v>
      </c>
      <c r="I40" s="263">
        <v>0</v>
      </c>
      <c r="J40" s="265">
        <f t="shared" si="0"/>
        <v>0</v>
      </c>
      <c r="K40" s="266">
        <f t="shared" si="18"/>
        <v>0</v>
      </c>
      <c r="L40" s="267">
        <f t="shared" si="18"/>
        <v>0</v>
      </c>
      <c r="N40" s="263">
        <v>90.5</v>
      </c>
      <c r="O40" s="265">
        <f t="shared" si="2"/>
        <v>3112.94</v>
      </c>
      <c r="P40" s="263">
        <v>0</v>
      </c>
      <c r="Q40" s="265">
        <f t="shared" si="3"/>
        <v>0</v>
      </c>
      <c r="R40" s="266">
        <f t="shared" si="19"/>
        <v>90.5</v>
      </c>
      <c r="S40" s="267">
        <f t="shared" si="19"/>
        <v>3112.94</v>
      </c>
      <c r="U40" s="263">
        <v>0</v>
      </c>
      <c r="V40" s="265">
        <f t="shared" si="5"/>
        <v>0</v>
      </c>
      <c r="W40" s="263">
        <v>0</v>
      </c>
      <c r="X40" s="265">
        <f t="shared" si="6"/>
        <v>0</v>
      </c>
      <c r="Y40" s="266">
        <f t="shared" si="20"/>
        <v>0</v>
      </c>
      <c r="Z40" s="267">
        <f t="shared" si="20"/>
        <v>0</v>
      </c>
      <c r="AB40" s="263">
        <f t="shared" si="21"/>
        <v>90.5</v>
      </c>
      <c r="AC40" s="252">
        <f t="shared" si="21"/>
        <v>3112.94</v>
      </c>
      <c r="AD40" s="263">
        <f t="shared" si="21"/>
        <v>0</v>
      </c>
      <c r="AE40" s="252">
        <f t="shared" si="21"/>
        <v>0</v>
      </c>
      <c r="AF40" s="266">
        <f t="shared" si="21"/>
        <v>90.5</v>
      </c>
      <c r="AG40" s="267">
        <f t="shared" si="9"/>
        <v>3112.94</v>
      </c>
      <c r="AI40" s="252">
        <f t="shared" si="11"/>
        <v>2620.73</v>
      </c>
      <c r="AJ40" s="308">
        <v>2751.77</v>
      </c>
      <c r="AK40" s="308"/>
      <c r="AL40" s="319">
        <f t="shared" si="15"/>
        <v>0</v>
      </c>
      <c r="AM40" s="319">
        <f t="shared" si="16"/>
        <v>0</v>
      </c>
      <c r="AN40" s="319">
        <f t="shared" si="17"/>
        <v>0</v>
      </c>
      <c r="AO40" s="319">
        <v>2080</v>
      </c>
    </row>
    <row r="41" spans="1:41" ht="17.45" customHeight="1" x14ac:dyDescent="0.4">
      <c r="A41" s="264" t="s">
        <v>207</v>
      </c>
      <c r="B41" s="264">
        <v>181</v>
      </c>
      <c r="C41" t="s">
        <v>374</v>
      </c>
      <c r="D41" s="264" t="s">
        <v>185</v>
      </c>
      <c r="E41" s="264">
        <v>2721.99</v>
      </c>
      <c r="F41" s="264" t="s">
        <v>186</v>
      </c>
      <c r="G41" s="263">
        <v>70.729199999999992</v>
      </c>
      <c r="H41" s="265">
        <f t="shared" si="10"/>
        <v>2406.5500000000002</v>
      </c>
      <c r="I41" s="263">
        <v>0</v>
      </c>
      <c r="J41" s="265">
        <f t="shared" si="0"/>
        <v>0</v>
      </c>
      <c r="K41" s="266">
        <f t="shared" si="18"/>
        <v>70.729199999999992</v>
      </c>
      <c r="L41" s="267">
        <f t="shared" si="18"/>
        <v>2406.5500000000002</v>
      </c>
      <c r="N41" s="263">
        <v>49.150799999999997</v>
      </c>
      <c r="O41" s="265">
        <f t="shared" si="2"/>
        <v>1672.35</v>
      </c>
      <c r="P41" s="263">
        <v>0</v>
      </c>
      <c r="Q41" s="265">
        <f t="shared" si="3"/>
        <v>0</v>
      </c>
      <c r="R41" s="266">
        <f t="shared" si="19"/>
        <v>49.150799999999997</v>
      </c>
      <c r="S41" s="267">
        <f t="shared" si="19"/>
        <v>1672.35</v>
      </c>
      <c r="U41" s="263">
        <v>0</v>
      </c>
      <c r="V41" s="265">
        <f t="shared" si="5"/>
        <v>0</v>
      </c>
      <c r="W41" s="263">
        <v>0</v>
      </c>
      <c r="X41" s="265">
        <f t="shared" si="6"/>
        <v>0</v>
      </c>
      <c r="Y41" s="266">
        <f t="shared" si="20"/>
        <v>0</v>
      </c>
      <c r="Z41" s="267">
        <f t="shared" si="20"/>
        <v>0</v>
      </c>
      <c r="AB41" s="263">
        <f t="shared" si="21"/>
        <v>119.88</v>
      </c>
      <c r="AC41" s="252">
        <f t="shared" si="21"/>
        <v>4078.9</v>
      </c>
      <c r="AD41" s="263">
        <f t="shared" si="21"/>
        <v>0</v>
      </c>
      <c r="AE41" s="252">
        <f t="shared" si="21"/>
        <v>0</v>
      </c>
      <c r="AF41" s="266">
        <f t="shared" si="21"/>
        <v>119.88</v>
      </c>
      <c r="AG41" s="267">
        <f t="shared" si="9"/>
        <v>4078.9</v>
      </c>
      <c r="AI41" s="252">
        <f t="shared" si="11"/>
        <v>2592.37</v>
      </c>
      <c r="AJ41" s="308">
        <v>2721.99</v>
      </c>
      <c r="AK41" s="308"/>
      <c r="AL41" s="319">
        <f t="shared" si="15"/>
        <v>70.729199999999992</v>
      </c>
      <c r="AM41" s="319">
        <f t="shared" si="16"/>
        <v>0</v>
      </c>
      <c r="AN41" s="319">
        <f t="shared" si="17"/>
        <v>70.729199999999992</v>
      </c>
      <c r="AO41" s="319">
        <v>2080</v>
      </c>
    </row>
    <row r="42" spans="1:41" ht="17.45" customHeight="1" x14ac:dyDescent="0.4">
      <c r="A42" s="264" t="s">
        <v>195</v>
      </c>
      <c r="B42" s="264">
        <v>147</v>
      </c>
      <c r="C42" s="250" t="s">
        <v>197</v>
      </c>
      <c r="D42" s="264" t="s">
        <v>185</v>
      </c>
      <c r="E42" s="264">
        <v>33.869999999999997</v>
      </c>
      <c r="F42" s="264" t="s">
        <v>98</v>
      </c>
      <c r="G42" s="263">
        <v>4</v>
      </c>
      <c r="H42" s="265">
        <f t="shared" si="10"/>
        <v>135.47999999999999</v>
      </c>
      <c r="I42" s="263">
        <v>17.5</v>
      </c>
      <c r="J42" s="265">
        <f t="shared" si="0"/>
        <v>889.09</v>
      </c>
      <c r="K42" s="266">
        <f t="shared" si="18"/>
        <v>21.5</v>
      </c>
      <c r="L42" s="267">
        <f t="shared" si="18"/>
        <v>1024.57</v>
      </c>
      <c r="N42" s="263">
        <v>50</v>
      </c>
      <c r="O42" s="265">
        <f t="shared" si="2"/>
        <v>1693.5</v>
      </c>
      <c r="P42" s="263">
        <v>0</v>
      </c>
      <c r="Q42" s="265">
        <f t="shared" si="3"/>
        <v>0</v>
      </c>
      <c r="R42" s="266">
        <f t="shared" si="19"/>
        <v>50</v>
      </c>
      <c r="S42" s="267">
        <f t="shared" si="19"/>
        <v>1693.5</v>
      </c>
      <c r="U42" s="263">
        <v>3</v>
      </c>
      <c r="V42" s="265">
        <f t="shared" si="5"/>
        <v>101.61</v>
      </c>
      <c r="W42" s="263">
        <v>0.5</v>
      </c>
      <c r="X42" s="265">
        <f t="shared" si="6"/>
        <v>25.4</v>
      </c>
      <c r="Y42" s="266">
        <f t="shared" si="20"/>
        <v>3.5</v>
      </c>
      <c r="Z42" s="267">
        <f t="shared" si="20"/>
        <v>127.00999999999999</v>
      </c>
      <c r="AB42" s="263">
        <f t="shared" si="21"/>
        <v>57</v>
      </c>
      <c r="AC42" s="252">
        <f t="shared" si="21"/>
        <v>1930.59</v>
      </c>
      <c r="AD42" s="263">
        <f t="shared" si="21"/>
        <v>18</v>
      </c>
      <c r="AE42" s="252">
        <f t="shared" si="21"/>
        <v>914.49</v>
      </c>
      <c r="AF42" s="266">
        <f t="shared" si="21"/>
        <v>75</v>
      </c>
      <c r="AG42" s="267">
        <f t="shared" si="9"/>
        <v>2845.08</v>
      </c>
      <c r="AI42" s="252">
        <f t="shared" si="11"/>
        <v>32.26</v>
      </c>
      <c r="AJ42" s="308">
        <v>33.869999999999997</v>
      </c>
      <c r="AK42" s="308"/>
      <c r="AL42" s="319">
        <f t="shared" si="15"/>
        <v>4</v>
      </c>
      <c r="AM42" s="319">
        <f t="shared" si="16"/>
        <v>17.5</v>
      </c>
      <c r="AN42" s="319">
        <f t="shared" si="17"/>
        <v>21.5</v>
      </c>
      <c r="AO42" s="319">
        <v>2080</v>
      </c>
    </row>
    <row r="43" spans="1:41" ht="17.45" customHeight="1" x14ac:dyDescent="0.4">
      <c r="A43" s="264" t="s">
        <v>195</v>
      </c>
      <c r="B43" s="264">
        <v>168</v>
      </c>
      <c r="C43" s="250" t="s">
        <v>197</v>
      </c>
      <c r="D43" s="264" t="s">
        <v>185</v>
      </c>
      <c r="E43" s="264">
        <v>29.03</v>
      </c>
      <c r="F43" s="264" t="s">
        <v>98</v>
      </c>
      <c r="G43" s="263">
        <v>13.5</v>
      </c>
      <c r="H43" s="265">
        <f t="shared" si="10"/>
        <v>391.91</v>
      </c>
      <c r="I43" s="263">
        <v>8</v>
      </c>
      <c r="J43" s="265">
        <f t="shared" si="0"/>
        <v>348.36</v>
      </c>
      <c r="K43" s="266">
        <f t="shared" si="18"/>
        <v>21.5</v>
      </c>
      <c r="L43" s="267">
        <f t="shared" si="18"/>
        <v>740.27</v>
      </c>
      <c r="N43" s="263">
        <v>16.5</v>
      </c>
      <c r="O43" s="265">
        <f t="shared" si="2"/>
        <v>479</v>
      </c>
      <c r="P43" s="263">
        <v>0.5</v>
      </c>
      <c r="Q43" s="265">
        <f t="shared" si="3"/>
        <v>21.77</v>
      </c>
      <c r="R43" s="266">
        <f t="shared" si="19"/>
        <v>17</v>
      </c>
      <c r="S43" s="267">
        <f t="shared" si="19"/>
        <v>500.77</v>
      </c>
      <c r="U43" s="263">
        <v>0</v>
      </c>
      <c r="V43" s="265">
        <f t="shared" si="5"/>
        <v>0</v>
      </c>
      <c r="W43" s="263">
        <v>3</v>
      </c>
      <c r="X43" s="265">
        <f t="shared" si="6"/>
        <v>130.63999999999999</v>
      </c>
      <c r="Y43" s="266">
        <f t="shared" si="20"/>
        <v>3</v>
      </c>
      <c r="Z43" s="267">
        <f t="shared" si="20"/>
        <v>130.63999999999999</v>
      </c>
      <c r="AB43" s="263">
        <f t="shared" si="21"/>
        <v>30</v>
      </c>
      <c r="AC43" s="252">
        <f t="shared" si="21"/>
        <v>870.91000000000008</v>
      </c>
      <c r="AD43" s="263">
        <f t="shared" si="21"/>
        <v>11.5</v>
      </c>
      <c r="AE43" s="252">
        <f t="shared" si="21"/>
        <v>500.77</v>
      </c>
      <c r="AF43" s="266">
        <f t="shared" si="21"/>
        <v>41.5</v>
      </c>
      <c r="AG43" s="267">
        <f t="shared" si="9"/>
        <v>1371.6799999999998</v>
      </c>
      <c r="AI43" s="252">
        <f t="shared" si="11"/>
        <v>27.65</v>
      </c>
      <c r="AJ43" s="308">
        <v>29.03</v>
      </c>
      <c r="AK43" s="308"/>
      <c r="AL43" s="319">
        <f t="shared" si="15"/>
        <v>13.5</v>
      </c>
      <c r="AM43" s="319">
        <f t="shared" si="16"/>
        <v>8</v>
      </c>
      <c r="AN43" s="319">
        <f t="shared" si="17"/>
        <v>21.5</v>
      </c>
      <c r="AO43" s="319">
        <v>2080</v>
      </c>
    </row>
    <row r="44" spans="1:41" ht="17.45" customHeight="1" x14ac:dyDescent="0.4">
      <c r="A44" s="254" t="s">
        <v>195</v>
      </c>
      <c r="B44" s="254">
        <v>184</v>
      </c>
      <c r="C44" s="250" t="s">
        <v>375</v>
      </c>
      <c r="D44" s="264" t="s">
        <v>185</v>
      </c>
      <c r="E44" s="264">
        <v>28.73</v>
      </c>
      <c r="F44" s="264" t="s">
        <v>98</v>
      </c>
      <c r="G44" s="263">
        <v>172.5</v>
      </c>
      <c r="H44" s="265">
        <f t="shared" si="10"/>
        <v>4955.93</v>
      </c>
      <c r="I44" s="263">
        <v>19.5</v>
      </c>
      <c r="J44" s="265">
        <f t="shared" si="0"/>
        <v>840.35</v>
      </c>
      <c r="K44" s="266">
        <f t="shared" si="18"/>
        <v>192</v>
      </c>
      <c r="L44" s="267">
        <f t="shared" si="18"/>
        <v>5796.2800000000007</v>
      </c>
      <c r="N44" s="263">
        <v>2.5</v>
      </c>
      <c r="O44" s="265">
        <f t="shared" si="2"/>
        <v>71.83</v>
      </c>
      <c r="P44" s="263">
        <v>0</v>
      </c>
      <c r="Q44" s="265">
        <f t="shared" si="3"/>
        <v>0</v>
      </c>
      <c r="R44" s="266">
        <f t="shared" si="19"/>
        <v>2.5</v>
      </c>
      <c r="S44" s="267">
        <f t="shared" si="19"/>
        <v>71.83</v>
      </c>
      <c r="U44" s="263">
        <v>2</v>
      </c>
      <c r="V44" s="265">
        <f t="shared" si="5"/>
        <v>57.46</v>
      </c>
      <c r="W44" s="263">
        <v>1</v>
      </c>
      <c r="X44" s="265">
        <f t="shared" si="6"/>
        <v>43.1</v>
      </c>
      <c r="Y44" s="266">
        <f t="shared" si="20"/>
        <v>3</v>
      </c>
      <c r="Z44" s="267">
        <f t="shared" si="20"/>
        <v>100.56</v>
      </c>
      <c r="AB44" s="263">
        <f t="shared" si="21"/>
        <v>177</v>
      </c>
      <c r="AC44" s="252">
        <f t="shared" si="21"/>
        <v>5085.22</v>
      </c>
      <c r="AD44" s="263">
        <f t="shared" si="21"/>
        <v>20.5</v>
      </c>
      <c r="AE44" s="252">
        <f t="shared" si="21"/>
        <v>883.45</v>
      </c>
      <c r="AF44" s="266">
        <f t="shared" si="21"/>
        <v>197.5</v>
      </c>
      <c r="AG44" s="267">
        <f t="shared" si="9"/>
        <v>5968.670000000001</v>
      </c>
      <c r="AI44" s="252">
        <f t="shared" si="11"/>
        <v>27.36</v>
      </c>
      <c r="AJ44" s="308">
        <v>28.73</v>
      </c>
      <c r="AK44" s="308"/>
      <c r="AL44" s="319">
        <f t="shared" si="15"/>
        <v>172.5</v>
      </c>
      <c r="AM44" s="319">
        <f t="shared" si="16"/>
        <v>19.5</v>
      </c>
      <c r="AN44" s="319">
        <f t="shared" si="17"/>
        <v>192</v>
      </c>
      <c r="AO44" s="319">
        <v>2080</v>
      </c>
    </row>
    <row r="45" spans="1:41" ht="17.45" customHeight="1" x14ac:dyDescent="0.4">
      <c r="A45" s="264" t="s">
        <v>195</v>
      </c>
      <c r="B45" s="264">
        <v>171</v>
      </c>
      <c r="C45" s="250" t="s">
        <v>386</v>
      </c>
      <c r="D45" s="264" t="s">
        <v>185</v>
      </c>
      <c r="E45" s="264">
        <v>24.82</v>
      </c>
      <c r="F45" s="264" t="s">
        <v>98</v>
      </c>
      <c r="G45" s="263">
        <v>169</v>
      </c>
      <c r="H45" s="265">
        <f t="shared" si="10"/>
        <v>4194.58</v>
      </c>
      <c r="I45" s="263">
        <v>18</v>
      </c>
      <c r="J45" s="265">
        <f t="shared" si="0"/>
        <v>670.14</v>
      </c>
      <c r="K45" s="266">
        <f t="shared" si="18"/>
        <v>187</v>
      </c>
      <c r="L45" s="267">
        <f t="shared" si="18"/>
        <v>4864.72</v>
      </c>
      <c r="N45" s="263">
        <v>1</v>
      </c>
      <c r="O45" s="265">
        <f t="shared" si="2"/>
        <v>24.82</v>
      </c>
      <c r="P45" s="263">
        <v>0</v>
      </c>
      <c r="Q45" s="265">
        <f t="shared" si="3"/>
        <v>0</v>
      </c>
      <c r="R45" s="266">
        <f t="shared" si="19"/>
        <v>1</v>
      </c>
      <c r="S45" s="267">
        <f t="shared" si="19"/>
        <v>24.82</v>
      </c>
      <c r="U45" s="263"/>
      <c r="V45" s="265">
        <f t="shared" si="5"/>
        <v>0</v>
      </c>
      <c r="W45" s="263">
        <v>4.5</v>
      </c>
      <c r="X45" s="265">
        <f t="shared" si="6"/>
        <v>167.54</v>
      </c>
      <c r="Y45" s="266">
        <f t="shared" si="20"/>
        <v>4.5</v>
      </c>
      <c r="Z45" s="267">
        <f t="shared" si="20"/>
        <v>167.54</v>
      </c>
      <c r="AB45" s="263">
        <f t="shared" si="21"/>
        <v>170</v>
      </c>
      <c r="AC45" s="252">
        <f t="shared" si="21"/>
        <v>4219.3999999999996</v>
      </c>
      <c r="AD45" s="263">
        <f t="shared" si="21"/>
        <v>22.5</v>
      </c>
      <c r="AE45" s="252">
        <f t="shared" si="21"/>
        <v>837.68</v>
      </c>
      <c r="AF45" s="266">
        <f t="shared" si="21"/>
        <v>192.5</v>
      </c>
      <c r="AG45" s="267">
        <f t="shared" si="9"/>
        <v>5057.08</v>
      </c>
      <c r="AI45" s="252">
        <f t="shared" si="11"/>
        <v>23.64</v>
      </c>
      <c r="AJ45" s="308">
        <v>24.82</v>
      </c>
      <c r="AK45" s="308"/>
      <c r="AL45" s="319">
        <f t="shared" si="15"/>
        <v>169</v>
      </c>
      <c r="AM45" s="319">
        <f t="shared" si="16"/>
        <v>18</v>
      </c>
      <c r="AN45" s="319">
        <f t="shared" si="17"/>
        <v>187</v>
      </c>
      <c r="AO45" s="319">
        <v>2080</v>
      </c>
    </row>
    <row r="46" spans="1:41" ht="17.45" customHeight="1" x14ac:dyDescent="0.4">
      <c r="A46" s="264" t="s">
        <v>195</v>
      </c>
      <c r="B46" s="264">
        <v>164</v>
      </c>
      <c r="C46" s="250" t="s">
        <v>386</v>
      </c>
      <c r="D46" s="264" t="s">
        <v>185</v>
      </c>
      <c r="E46" s="264">
        <v>27.14</v>
      </c>
      <c r="F46" s="264" t="s">
        <v>98</v>
      </c>
      <c r="G46" s="263">
        <v>160.5</v>
      </c>
      <c r="H46" s="265">
        <f t="shared" si="10"/>
        <v>4355.97</v>
      </c>
      <c r="I46" s="263">
        <v>22</v>
      </c>
      <c r="J46" s="265">
        <f t="shared" si="0"/>
        <v>895.62</v>
      </c>
      <c r="K46" s="266">
        <f t="shared" si="18"/>
        <v>182.5</v>
      </c>
      <c r="L46" s="267">
        <f t="shared" si="18"/>
        <v>5251.59</v>
      </c>
      <c r="N46" s="263">
        <v>5.5</v>
      </c>
      <c r="O46" s="265">
        <f t="shared" si="2"/>
        <v>149.27000000000001</v>
      </c>
      <c r="P46" s="263">
        <v>0</v>
      </c>
      <c r="Q46" s="265">
        <f t="shared" si="3"/>
        <v>0</v>
      </c>
      <c r="R46" s="266">
        <f t="shared" si="19"/>
        <v>5.5</v>
      </c>
      <c r="S46" s="267">
        <f t="shared" si="19"/>
        <v>149.27000000000001</v>
      </c>
      <c r="U46" s="263"/>
      <c r="V46" s="265">
        <f t="shared" si="5"/>
        <v>0</v>
      </c>
      <c r="W46" s="263">
        <v>3</v>
      </c>
      <c r="X46" s="265">
        <f t="shared" si="6"/>
        <v>122.13</v>
      </c>
      <c r="Y46" s="266">
        <f t="shared" si="20"/>
        <v>3</v>
      </c>
      <c r="Z46" s="267">
        <f t="shared" si="20"/>
        <v>122.13</v>
      </c>
      <c r="AB46" s="263">
        <f t="shared" si="21"/>
        <v>166</v>
      </c>
      <c r="AC46" s="252">
        <f t="shared" si="21"/>
        <v>4505.2400000000007</v>
      </c>
      <c r="AD46" s="263">
        <f t="shared" si="21"/>
        <v>25</v>
      </c>
      <c r="AE46" s="252">
        <f t="shared" si="21"/>
        <v>1017.75</v>
      </c>
      <c r="AF46" s="266">
        <f t="shared" si="21"/>
        <v>191</v>
      </c>
      <c r="AG46" s="267">
        <f t="shared" si="9"/>
        <v>5522.9900000000007</v>
      </c>
      <c r="AI46" s="252">
        <f t="shared" si="11"/>
        <v>25.85</v>
      </c>
      <c r="AJ46" s="308">
        <v>27.14</v>
      </c>
      <c r="AK46" s="308"/>
      <c r="AL46" s="319">
        <f t="shared" si="15"/>
        <v>160.5</v>
      </c>
      <c r="AM46" s="319">
        <f t="shared" si="16"/>
        <v>22</v>
      </c>
      <c r="AN46" s="319">
        <f t="shared" si="17"/>
        <v>182.5</v>
      </c>
      <c r="AO46" s="319">
        <v>2080</v>
      </c>
    </row>
    <row r="47" spans="1:41" ht="17.45" customHeight="1" x14ac:dyDescent="0.4">
      <c r="A47" s="264" t="s">
        <v>207</v>
      </c>
      <c r="B47" s="264">
        <v>42</v>
      </c>
      <c r="C47" s="269" t="s">
        <v>377</v>
      </c>
      <c r="D47" s="264" t="s">
        <v>185</v>
      </c>
      <c r="E47" s="264">
        <v>6512.99</v>
      </c>
      <c r="F47" s="264" t="s">
        <v>186</v>
      </c>
      <c r="G47" s="263">
        <v>75.763079999999988</v>
      </c>
      <c r="H47" s="265">
        <f t="shared" si="10"/>
        <v>6168.05</v>
      </c>
      <c r="I47" s="263">
        <v>0</v>
      </c>
      <c r="J47" s="265">
        <f t="shared" si="0"/>
        <v>0</v>
      </c>
      <c r="K47" s="266">
        <f t="shared" si="18"/>
        <v>75.763079999999988</v>
      </c>
      <c r="L47" s="267">
        <f t="shared" si="18"/>
        <v>6168.05</v>
      </c>
      <c r="N47" s="263">
        <v>52.64891999999999</v>
      </c>
      <c r="O47" s="265">
        <f t="shared" si="2"/>
        <v>4286.2700000000004</v>
      </c>
      <c r="P47" s="263">
        <v>0</v>
      </c>
      <c r="Q47" s="265">
        <f t="shared" si="3"/>
        <v>0</v>
      </c>
      <c r="R47" s="266">
        <f t="shared" si="19"/>
        <v>52.64891999999999</v>
      </c>
      <c r="S47" s="267">
        <f t="shared" si="19"/>
        <v>4286.2700000000004</v>
      </c>
      <c r="U47" s="263">
        <v>0</v>
      </c>
      <c r="V47" s="265">
        <f t="shared" si="5"/>
        <v>0</v>
      </c>
      <c r="W47" s="263">
        <v>0</v>
      </c>
      <c r="X47" s="265">
        <f t="shared" si="6"/>
        <v>0</v>
      </c>
      <c r="Y47" s="266">
        <f t="shared" si="20"/>
        <v>0</v>
      </c>
      <c r="Z47" s="267">
        <f t="shared" si="20"/>
        <v>0</v>
      </c>
      <c r="AB47" s="263">
        <f t="shared" si="21"/>
        <v>128.41199999999998</v>
      </c>
      <c r="AC47" s="252">
        <f t="shared" si="21"/>
        <v>10454.32</v>
      </c>
      <c r="AD47" s="263">
        <f t="shared" si="21"/>
        <v>0</v>
      </c>
      <c r="AE47" s="252">
        <f t="shared" si="21"/>
        <v>0</v>
      </c>
      <c r="AF47" s="266">
        <f t="shared" si="21"/>
        <v>128.41199999999998</v>
      </c>
      <c r="AG47" s="267">
        <f t="shared" si="9"/>
        <v>10454.32</v>
      </c>
      <c r="AI47" s="252">
        <f t="shared" si="11"/>
        <v>6202.85</v>
      </c>
      <c r="AJ47" s="308">
        <v>6512.99</v>
      </c>
      <c r="AK47" s="308"/>
      <c r="AL47" s="319">
        <f t="shared" si="15"/>
        <v>75.763079999999988</v>
      </c>
      <c r="AM47" s="319">
        <f t="shared" si="16"/>
        <v>0</v>
      </c>
      <c r="AN47" s="319">
        <f t="shared" si="17"/>
        <v>75.763079999999988</v>
      </c>
      <c r="AO47" s="319">
        <v>2080</v>
      </c>
    </row>
    <row r="48" spans="1:41" ht="17.45" customHeight="1" x14ac:dyDescent="0.4">
      <c r="A48" s="254" t="s">
        <v>204</v>
      </c>
      <c r="B48" s="254">
        <v>193</v>
      </c>
      <c r="C48" s="250" t="s">
        <v>376</v>
      </c>
      <c r="D48" s="264" t="s">
        <v>185</v>
      </c>
      <c r="E48" s="287">
        <v>6462.49</v>
      </c>
      <c r="F48" s="264" t="s">
        <v>186</v>
      </c>
      <c r="G48" s="263">
        <v>0</v>
      </c>
      <c r="H48" s="265">
        <f t="shared" si="10"/>
        <v>0</v>
      </c>
      <c r="I48" s="263">
        <v>0</v>
      </c>
      <c r="J48" s="265">
        <f t="shared" si="0"/>
        <v>0</v>
      </c>
      <c r="K48" s="266">
        <f t="shared" si="18"/>
        <v>0</v>
      </c>
      <c r="L48" s="267">
        <f t="shared" si="18"/>
        <v>0</v>
      </c>
      <c r="N48" s="263">
        <v>252</v>
      </c>
      <c r="O48" s="265">
        <f t="shared" si="2"/>
        <v>20356.84</v>
      </c>
      <c r="P48" s="263">
        <v>0</v>
      </c>
      <c r="Q48" s="265">
        <f t="shared" si="3"/>
        <v>0</v>
      </c>
      <c r="R48" s="266">
        <f t="shared" si="19"/>
        <v>252</v>
      </c>
      <c r="S48" s="267">
        <f t="shared" si="19"/>
        <v>20356.84</v>
      </c>
      <c r="U48" s="263">
        <v>0</v>
      </c>
      <c r="V48" s="265">
        <f t="shared" si="5"/>
        <v>0</v>
      </c>
      <c r="W48" s="263">
        <v>0</v>
      </c>
      <c r="X48" s="265">
        <f t="shared" si="6"/>
        <v>0</v>
      </c>
      <c r="Y48" s="266">
        <f t="shared" si="20"/>
        <v>0</v>
      </c>
      <c r="Z48" s="267">
        <f t="shared" si="20"/>
        <v>0</v>
      </c>
      <c r="AB48" s="263">
        <f t="shared" si="21"/>
        <v>252</v>
      </c>
      <c r="AC48" s="252">
        <f t="shared" si="21"/>
        <v>20356.84</v>
      </c>
      <c r="AD48" s="263">
        <f t="shared" si="21"/>
        <v>0</v>
      </c>
      <c r="AE48" s="252">
        <f t="shared" si="21"/>
        <v>0</v>
      </c>
      <c r="AF48" s="266">
        <f t="shared" si="21"/>
        <v>252</v>
      </c>
      <c r="AG48" s="267">
        <f t="shared" si="9"/>
        <v>20356.84</v>
      </c>
      <c r="AI48" s="252">
        <f t="shared" si="11"/>
        <v>6154.75</v>
      </c>
      <c r="AJ48" s="309">
        <v>6462.49</v>
      </c>
      <c r="AK48" s="309"/>
      <c r="AL48" s="319">
        <f t="shared" si="15"/>
        <v>0</v>
      </c>
      <c r="AM48" s="319">
        <f t="shared" si="16"/>
        <v>0</v>
      </c>
      <c r="AN48" s="319">
        <f t="shared" si="17"/>
        <v>0</v>
      </c>
      <c r="AO48" s="319">
        <v>2080</v>
      </c>
    </row>
    <row r="49" spans="1:41" ht="17.45" customHeight="1" x14ac:dyDescent="0.4">
      <c r="A49" s="264" t="s">
        <v>207</v>
      </c>
      <c r="B49" s="264">
        <v>188</v>
      </c>
      <c r="C49" s="269" t="s">
        <v>378</v>
      </c>
      <c r="D49" s="264" t="s">
        <v>185</v>
      </c>
      <c r="E49" s="264">
        <v>4261.6000000000004</v>
      </c>
      <c r="F49" s="264" t="s">
        <v>186</v>
      </c>
      <c r="G49" s="263">
        <v>70.792919999999981</v>
      </c>
      <c r="H49" s="265">
        <f t="shared" si="10"/>
        <v>3771.14</v>
      </c>
      <c r="I49" s="263">
        <v>0</v>
      </c>
      <c r="J49" s="265">
        <f t="shared" si="0"/>
        <v>0</v>
      </c>
      <c r="K49" s="266">
        <f t="shared" si="18"/>
        <v>70.792919999999981</v>
      </c>
      <c r="L49" s="267">
        <f t="shared" si="18"/>
        <v>3771.14</v>
      </c>
      <c r="N49" s="263">
        <v>49.19507999999999</v>
      </c>
      <c r="O49" s="265">
        <f t="shared" si="2"/>
        <v>2620.62</v>
      </c>
      <c r="P49" s="263">
        <v>0</v>
      </c>
      <c r="Q49" s="265">
        <f t="shared" si="3"/>
        <v>0</v>
      </c>
      <c r="R49" s="266">
        <f t="shared" si="19"/>
        <v>49.19507999999999</v>
      </c>
      <c r="S49" s="267">
        <f t="shared" si="19"/>
        <v>2620.62</v>
      </c>
      <c r="U49" s="263">
        <v>0</v>
      </c>
      <c r="V49" s="265">
        <f t="shared" si="5"/>
        <v>0</v>
      </c>
      <c r="W49" s="263">
        <v>0</v>
      </c>
      <c r="X49" s="265">
        <f t="shared" si="6"/>
        <v>0</v>
      </c>
      <c r="Y49" s="266">
        <f t="shared" si="20"/>
        <v>0</v>
      </c>
      <c r="Z49" s="267">
        <f t="shared" si="20"/>
        <v>0</v>
      </c>
      <c r="AB49" s="263">
        <f t="shared" si="21"/>
        <v>119.98799999999997</v>
      </c>
      <c r="AC49" s="252">
        <f t="shared" si="21"/>
        <v>6391.76</v>
      </c>
      <c r="AD49" s="263">
        <f t="shared" si="21"/>
        <v>0</v>
      </c>
      <c r="AE49" s="252">
        <f t="shared" si="21"/>
        <v>0</v>
      </c>
      <c r="AF49" s="266">
        <f t="shared" si="21"/>
        <v>119.98799999999997</v>
      </c>
      <c r="AG49" s="267">
        <f t="shared" si="9"/>
        <v>6391.76</v>
      </c>
      <c r="AI49" s="252">
        <f t="shared" si="11"/>
        <v>4058.67</v>
      </c>
      <c r="AJ49" s="308">
        <v>4261.6000000000004</v>
      </c>
      <c r="AK49" s="308"/>
      <c r="AL49" s="319">
        <f t="shared" si="15"/>
        <v>70.792919999999981</v>
      </c>
      <c r="AM49" s="319">
        <f t="shared" si="16"/>
        <v>0</v>
      </c>
      <c r="AN49" s="319">
        <f t="shared" si="17"/>
        <v>70.792919999999981</v>
      </c>
      <c r="AO49" s="319">
        <v>2080</v>
      </c>
    </row>
    <row r="50" spans="1:41" ht="17.45" customHeight="1" x14ac:dyDescent="0.4">
      <c r="A50" s="264" t="s">
        <v>184</v>
      </c>
      <c r="B50" s="264">
        <v>102</v>
      </c>
      <c r="C50" s="269" t="s">
        <v>379</v>
      </c>
      <c r="D50" s="264" t="s">
        <v>185</v>
      </c>
      <c r="E50" s="264">
        <v>5434.16</v>
      </c>
      <c r="F50" s="264" t="s">
        <v>186</v>
      </c>
      <c r="G50" s="263">
        <v>0</v>
      </c>
      <c r="H50" s="265">
        <f t="shared" si="10"/>
        <v>0</v>
      </c>
      <c r="I50" s="263">
        <v>0</v>
      </c>
      <c r="J50" s="265">
        <f t="shared" si="0"/>
        <v>0</v>
      </c>
      <c r="K50" s="266">
        <f t="shared" si="18"/>
        <v>0</v>
      </c>
      <c r="L50" s="267">
        <f t="shared" si="18"/>
        <v>0</v>
      </c>
      <c r="N50" s="263">
        <v>178.5</v>
      </c>
      <c r="O50" s="265">
        <f t="shared" si="2"/>
        <v>12124.97</v>
      </c>
      <c r="P50" s="263">
        <v>0</v>
      </c>
      <c r="Q50" s="265">
        <f t="shared" si="3"/>
        <v>0</v>
      </c>
      <c r="R50" s="266">
        <f t="shared" si="19"/>
        <v>178.5</v>
      </c>
      <c r="S50" s="267">
        <f t="shared" si="19"/>
        <v>12124.97</v>
      </c>
      <c r="U50" s="263">
        <v>0</v>
      </c>
      <c r="V50" s="265">
        <f t="shared" si="5"/>
        <v>0</v>
      </c>
      <c r="W50" s="263">
        <v>0</v>
      </c>
      <c r="X50" s="265">
        <f t="shared" si="6"/>
        <v>0</v>
      </c>
      <c r="Y50" s="266">
        <f t="shared" si="20"/>
        <v>0</v>
      </c>
      <c r="Z50" s="267">
        <f t="shared" si="20"/>
        <v>0</v>
      </c>
      <c r="AB50" s="263">
        <f t="shared" si="21"/>
        <v>178.5</v>
      </c>
      <c r="AC50" s="252">
        <f t="shared" si="21"/>
        <v>12124.97</v>
      </c>
      <c r="AD50" s="263">
        <f t="shared" si="21"/>
        <v>0</v>
      </c>
      <c r="AE50" s="252">
        <f t="shared" si="21"/>
        <v>0</v>
      </c>
      <c r="AF50" s="266">
        <f t="shared" si="21"/>
        <v>178.5</v>
      </c>
      <c r="AG50" s="267">
        <f t="shared" si="9"/>
        <v>12124.97</v>
      </c>
      <c r="AI50" s="252">
        <f t="shared" si="11"/>
        <v>5175.3900000000003</v>
      </c>
      <c r="AJ50" s="308">
        <v>5434.16</v>
      </c>
      <c r="AK50" s="308"/>
      <c r="AL50" s="319">
        <f t="shared" si="15"/>
        <v>0</v>
      </c>
      <c r="AM50" s="319">
        <f t="shared" si="16"/>
        <v>0</v>
      </c>
      <c r="AN50" s="319">
        <f t="shared" si="17"/>
        <v>0</v>
      </c>
      <c r="AO50" s="319">
        <v>2080</v>
      </c>
    </row>
    <row r="51" spans="1:41" ht="17.45" customHeight="1" x14ac:dyDescent="0.4">
      <c r="A51" s="264" t="s">
        <v>207</v>
      </c>
      <c r="B51" s="264">
        <v>94</v>
      </c>
      <c r="C51" s="250" t="s">
        <v>380</v>
      </c>
      <c r="D51" s="264" t="s">
        <v>185</v>
      </c>
      <c r="E51" s="264">
        <v>5842.83</v>
      </c>
      <c r="F51" s="264" t="s">
        <v>186</v>
      </c>
      <c r="G51" s="263">
        <v>61.574759999999991</v>
      </c>
      <c r="H51" s="265">
        <f t="shared" si="10"/>
        <v>4497.1400000000003</v>
      </c>
      <c r="I51" s="263">
        <v>0</v>
      </c>
      <c r="J51" s="265">
        <f t="shared" si="0"/>
        <v>0</v>
      </c>
      <c r="K51" s="266">
        <f t="shared" si="18"/>
        <v>61.574759999999991</v>
      </c>
      <c r="L51" s="267">
        <f t="shared" si="18"/>
        <v>4497.1400000000003</v>
      </c>
      <c r="N51" s="263">
        <v>42.789239999999992</v>
      </c>
      <c r="O51" s="265">
        <f t="shared" si="2"/>
        <v>3125.13</v>
      </c>
      <c r="P51" s="263">
        <v>0</v>
      </c>
      <c r="Q51" s="265">
        <f t="shared" si="3"/>
        <v>0</v>
      </c>
      <c r="R51" s="266">
        <f t="shared" si="19"/>
        <v>42.789239999999992</v>
      </c>
      <c r="S51" s="267">
        <f t="shared" si="19"/>
        <v>3125.13</v>
      </c>
      <c r="U51" s="263">
        <v>0</v>
      </c>
      <c r="V51" s="265">
        <f t="shared" si="5"/>
        <v>0</v>
      </c>
      <c r="W51" s="263">
        <v>0</v>
      </c>
      <c r="X51" s="265">
        <f t="shared" si="6"/>
        <v>0</v>
      </c>
      <c r="Y51" s="266">
        <f t="shared" si="20"/>
        <v>0</v>
      </c>
      <c r="Z51" s="267">
        <f t="shared" si="20"/>
        <v>0</v>
      </c>
      <c r="AB51" s="263">
        <f t="shared" si="21"/>
        <v>104.36399999999998</v>
      </c>
      <c r="AC51" s="252">
        <f t="shared" si="21"/>
        <v>7622.27</v>
      </c>
      <c r="AD51" s="263">
        <f t="shared" si="21"/>
        <v>0</v>
      </c>
      <c r="AE51" s="252">
        <f t="shared" si="21"/>
        <v>0</v>
      </c>
      <c r="AF51" s="266">
        <f t="shared" si="21"/>
        <v>104.36399999999998</v>
      </c>
      <c r="AG51" s="267">
        <f t="shared" si="9"/>
        <v>7622.27</v>
      </c>
      <c r="AI51" s="252">
        <f t="shared" si="11"/>
        <v>5564.6</v>
      </c>
      <c r="AJ51" s="308">
        <v>5842.83</v>
      </c>
      <c r="AK51" s="308"/>
      <c r="AL51" s="319">
        <f t="shared" si="15"/>
        <v>61.574759999999991</v>
      </c>
      <c r="AM51" s="319">
        <f t="shared" si="16"/>
        <v>0</v>
      </c>
      <c r="AN51" s="319">
        <f t="shared" si="17"/>
        <v>61.574759999999991</v>
      </c>
      <c r="AO51" s="319">
        <v>2080</v>
      </c>
    </row>
    <row r="52" spans="1:41" ht="17.45" customHeight="1" x14ac:dyDescent="0.4">
      <c r="A52" s="254" t="s">
        <v>188</v>
      </c>
      <c r="B52" s="254">
        <v>183</v>
      </c>
      <c r="C52" s="250" t="s">
        <v>192</v>
      </c>
      <c r="D52" s="264" t="s">
        <v>185</v>
      </c>
      <c r="E52" s="264">
        <v>30.48</v>
      </c>
      <c r="F52" s="264" t="s">
        <v>98</v>
      </c>
      <c r="G52" s="263">
        <v>108.5</v>
      </c>
      <c r="H52" s="265">
        <f t="shared" si="10"/>
        <v>3307.08</v>
      </c>
      <c r="I52" s="263">
        <v>32</v>
      </c>
      <c r="J52" s="265">
        <f t="shared" si="0"/>
        <v>1463.04</v>
      </c>
      <c r="K52" s="266">
        <f t="shared" si="18"/>
        <v>140.5</v>
      </c>
      <c r="L52" s="267">
        <f t="shared" si="18"/>
        <v>4770.12</v>
      </c>
      <c r="N52" s="263">
        <v>38.5</v>
      </c>
      <c r="O52" s="265">
        <f t="shared" si="2"/>
        <v>1173.48</v>
      </c>
      <c r="P52" s="263">
        <v>0</v>
      </c>
      <c r="Q52" s="265">
        <f t="shared" si="3"/>
        <v>0</v>
      </c>
      <c r="R52" s="266">
        <f t="shared" si="19"/>
        <v>38.5</v>
      </c>
      <c r="S52" s="267">
        <f t="shared" si="19"/>
        <v>1173.48</v>
      </c>
      <c r="U52" s="263">
        <v>4</v>
      </c>
      <c r="V52" s="265">
        <f t="shared" si="5"/>
        <v>121.92</v>
      </c>
      <c r="W52" s="263">
        <v>0</v>
      </c>
      <c r="X52" s="265">
        <f t="shared" si="6"/>
        <v>0</v>
      </c>
      <c r="Y52" s="266">
        <f t="shared" si="20"/>
        <v>4</v>
      </c>
      <c r="Z52" s="267">
        <f t="shared" si="20"/>
        <v>121.92</v>
      </c>
      <c r="AB52" s="263">
        <f t="shared" si="21"/>
        <v>151</v>
      </c>
      <c r="AC52" s="252">
        <f t="shared" si="21"/>
        <v>4602.4799999999996</v>
      </c>
      <c r="AD52" s="263">
        <f t="shared" si="21"/>
        <v>32</v>
      </c>
      <c r="AE52" s="252">
        <f t="shared" si="21"/>
        <v>1463.04</v>
      </c>
      <c r="AF52" s="266">
        <f t="shared" si="21"/>
        <v>183</v>
      </c>
      <c r="AG52" s="267">
        <f t="shared" si="9"/>
        <v>6065.52</v>
      </c>
      <c r="AI52" s="252">
        <f t="shared" si="11"/>
        <v>29.03</v>
      </c>
      <c r="AJ52" s="308">
        <v>30.48</v>
      </c>
      <c r="AK52" s="308"/>
      <c r="AL52" s="319">
        <f t="shared" si="15"/>
        <v>108.5</v>
      </c>
      <c r="AM52" s="319">
        <f t="shared" si="16"/>
        <v>32</v>
      </c>
      <c r="AN52" s="319">
        <f t="shared" si="17"/>
        <v>140.5</v>
      </c>
      <c r="AO52" s="319">
        <v>2080</v>
      </c>
    </row>
    <row r="53" spans="1:41" ht="17.45" customHeight="1" x14ac:dyDescent="0.4">
      <c r="A53" s="264" t="s">
        <v>195</v>
      </c>
      <c r="B53" s="264">
        <v>197</v>
      </c>
      <c r="C53" s="253" t="s">
        <v>369</v>
      </c>
      <c r="D53" s="264" t="s">
        <v>185</v>
      </c>
      <c r="E53" s="264">
        <v>20.65</v>
      </c>
      <c r="F53" s="264" t="s">
        <v>98</v>
      </c>
      <c r="G53" s="266">
        <v>1.5</v>
      </c>
      <c r="H53" s="265">
        <f t="shared" si="10"/>
        <v>30.98</v>
      </c>
      <c r="I53" s="266">
        <v>0</v>
      </c>
      <c r="J53" s="265">
        <f t="shared" si="0"/>
        <v>0</v>
      </c>
      <c r="K53" s="266">
        <f t="shared" si="18"/>
        <v>1.5</v>
      </c>
      <c r="L53" s="267">
        <f t="shared" si="18"/>
        <v>30.98</v>
      </c>
      <c r="M53" s="267"/>
      <c r="N53" s="266">
        <v>0</v>
      </c>
      <c r="O53" s="265">
        <f t="shared" si="2"/>
        <v>0</v>
      </c>
      <c r="P53" s="266">
        <v>0</v>
      </c>
      <c r="Q53" s="265">
        <f t="shared" si="3"/>
        <v>0</v>
      </c>
      <c r="R53" s="266">
        <f t="shared" si="19"/>
        <v>0</v>
      </c>
      <c r="S53" s="267">
        <f t="shared" si="19"/>
        <v>0</v>
      </c>
      <c r="U53" s="266">
        <v>0</v>
      </c>
      <c r="V53" s="265">
        <f t="shared" si="5"/>
        <v>0</v>
      </c>
      <c r="W53" s="266">
        <v>0</v>
      </c>
      <c r="X53" s="265">
        <f t="shared" si="6"/>
        <v>0</v>
      </c>
      <c r="Y53" s="266">
        <f t="shared" si="20"/>
        <v>0</v>
      </c>
      <c r="Z53" s="267">
        <f t="shared" si="20"/>
        <v>0</v>
      </c>
      <c r="AB53" s="266">
        <f t="shared" si="21"/>
        <v>1.5</v>
      </c>
      <c r="AC53" s="267">
        <f t="shared" si="21"/>
        <v>30.98</v>
      </c>
      <c r="AD53" s="266">
        <f t="shared" si="21"/>
        <v>0</v>
      </c>
      <c r="AE53" s="267">
        <f t="shared" si="21"/>
        <v>0</v>
      </c>
      <c r="AF53" s="266">
        <f t="shared" si="21"/>
        <v>1.5</v>
      </c>
      <c r="AG53" s="267">
        <f t="shared" si="9"/>
        <v>30.98</v>
      </c>
      <c r="AI53" s="252">
        <f t="shared" si="11"/>
        <v>19.670000000000002</v>
      </c>
      <c r="AJ53" s="308">
        <v>20.65</v>
      </c>
      <c r="AK53" s="308"/>
      <c r="AL53" s="319">
        <f t="shared" si="15"/>
        <v>1.5</v>
      </c>
      <c r="AM53" s="319">
        <f t="shared" si="16"/>
        <v>0</v>
      </c>
      <c r="AN53" s="319">
        <f t="shared" si="17"/>
        <v>1.5</v>
      </c>
      <c r="AO53" s="319">
        <v>2080</v>
      </c>
    </row>
    <row r="54" spans="1:41" ht="17.45" customHeight="1" x14ac:dyDescent="0.4">
      <c r="A54" s="254" t="s">
        <v>188</v>
      </c>
      <c r="B54" s="254">
        <v>229</v>
      </c>
      <c r="C54" s="269" t="s">
        <v>382</v>
      </c>
      <c r="D54" s="264" t="s">
        <v>185</v>
      </c>
      <c r="E54" s="264">
        <v>21.68</v>
      </c>
      <c r="F54" s="264" t="s">
        <v>98</v>
      </c>
      <c r="G54" s="271">
        <v>0</v>
      </c>
      <c r="H54" s="265">
        <f t="shared" si="10"/>
        <v>0</v>
      </c>
      <c r="I54" s="271">
        <v>12</v>
      </c>
      <c r="J54" s="265">
        <f t="shared" si="0"/>
        <v>390.24</v>
      </c>
      <c r="K54" s="266">
        <f t="shared" si="18"/>
        <v>12</v>
      </c>
      <c r="L54" s="267">
        <f t="shared" si="18"/>
        <v>390.24</v>
      </c>
      <c r="M54" s="272"/>
      <c r="N54" s="271">
        <v>13.5</v>
      </c>
      <c r="O54" s="265">
        <f t="shared" si="2"/>
        <v>292.68</v>
      </c>
      <c r="P54" s="271">
        <v>0.5</v>
      </c>
      <c r="Q54" s="265">
        <f t="shared" si="3"/>
        <v>16.260000000000002</v>
      </c>
      <c r="R54" s="266">
        <f t="shared" si="19"/>
        <v>14</v>
      </c>
      <c r="S54" s="267">
        <f t="shared" si="19"/>
        <v>308.94</v>
      </c>
      <c r="U54" s="271">
        <v>0</v>
      </c>
      <c r="V54" s="265">
        <f t="shared" si="5"/>
        <v>0</v>
      </c>
      <c r="W54" s="271">
        <v>0</v>
      </c>
      <c r="X54" s="265">
        <f t="shared" si="6"/>
        <v>0</v>
      </c>
      <c r="Y54" s="266">
        <f t="shared" si="20"/>
        <v>0</v>
      </c>
      <c r="Z54" s="267">
        <f t="shared" si="20"/>
        <v>0</v>
      </c>
      <c r="AB54" s="263">
        <f t="shared" si="21"/>
        <v>13.5</v>
      </c>
      <c r="AC54" s="252">
        <f t="shared" si="21"/>
        <v>292.68</v>
      </c>
      <c r="AD54" s="263">
        <f t="shared" si="21"/>
        <v>12.5</v>
      </c>
      <c r="AE54" s="252">
        <f t="shared" si="21"/>
        <v>406.5</v>
      </c>
      <c r="AF54" s="266">
        <f t="shared" si="21"/>
        <v>26</v>
      </c>
      <c r="AG54" s="267">
        <f t="shared" si="9"/>
        <v>699.18000000000006</v>
      </c>
      <c r="AI54" s="252">
        <f t="shared" si="11"/>
        <v>20.65</v>
      </c>
      <c r="AJ54" s="308">
        <v>21.68</v>
      </c>
      <c r="AK54" s="308"/>
      <c r="AL54" s="319">
        <f t="shared" si="15"/>
        <v>0</v>
      </c>
      <c r="AM54" s="319">
        <f t="shared" si="16"/>
        <v>12</v>
      </c>
      <c r="AN54" s="319">
        <f t="shared" si="17"/>
        <v>12</v>
      </c>
      <c r="AO54" s="319">
        <v>2080</v>
      </c>
    </row>
    <row r="55" spans="1:41" ht="17.45" customHeight="1" x14ac:dyDescent="0.4">
      <c r="A55" s="254" t="s">
        <v>188</v>
      </c>
      <c r="B55" s="254">
        <v>219</v>
      </c>
      <c r="C55" s="269" t="s">
        <v>417</v>
      </c>
      <c r="D55" s="264" t="s">
        <v>185</v>
      </c>
      <c r="E55" s="264">
        <v>22.58</v>
      </c>
      <c r="F55" s="264" t="s">
        <v>98</v>
      </c>
      <c r="G55" s="263">
        <v>68.542479999999998</v>
      </c>
      <c r="H55" s="265">
        <f t="shared" si="10"/>
        <v>1547.69</v>
      </c>
      <c r="I55" s="263">
        <v>19.5</v>
      </c>
      <c r="J55" s="265">
        <f t="shared" si="0"/>
        <v>660.47</v>
      </c>
      <c r="K55" s="266">
        <f t="shared" si="18"/>
        <v>88.042479999999998</v>
      </c>
      <c r="L55" s="267">
        <f t="shared" si="18"/>
        <v>2208.16</v>
      </c>
      <c r="N55" s="263">
        <v>70.029520000000005</v>
      </c>
      <c r="O55" s="265">
        <f t="shared" si="2"/>
        <v>1581.27</v>
      </c>
      <c r="P55" s="263">
        <v>4</v>
      </c>
      <c r="Q55" s="265">
        <f t="shared" si="3"/>
        <v>135.47999999999999</v>
      </c>
      <c r="R55" s="266">
        <f t="shared" si="19"/>
        <v>74.029520000000005</v>
      </c>
      <c r="S55" s="267">
        <f t="shared" si="19"/>
        <v>1716.75</v>
      </c>
      <c r="U55" s="263"/>
      <c r="V55" s="265">
        <f t="shared" si="5"/>
        <v>0</v>
      </c>
      <c r="W55" s="263">
        <v>13.5</v>
      </c>
      <c r="X55" s="265">
        <f t="shared" si="6"/>
        <v>457.25</v>
      </c>
      <c r="Y55" s="266">
        <f t="shared" si="20"/>
        <v>13.5</v>
      </c>
      <c r="Z55" s="267">
        <f t="shared" si="20"/>
        <v>457.25</v>
      </c>
      <c r="AB55" s="263">
        <f t="shared" si="21"/>
        <v>138.572</v>
      </c>
      <c r="AC55" s="252">
        <f t="shared" si="21"/>
        <v>3128.96</v>
      </c>
      <c r="AD55" s="263">
        <f t="shared" si="21"/>
        <v>37</v>
      </c>
      <c r="AE55" s="252">
        <f t="shared" si="21"/>
        <v>1253.2</v>
      </c>
      <c r="AF55" s="266">
        <f t="shared" si="21"/>
        <v>175.572</v>
      </c>
      <c r="AG55" s="267">
        <f t="shared" si="9"/>
        <v>4382.16</v>
      </c>
      <c r="AI55" s="252">
        <f t="shared" si="11"/>
        <v>21.5</v>
      </c>
      <c r="AJ55" s="308">
        <v>22.58</v>
      </c>
      <c r="AK55" s="308"/>
      <c r="AL55" s="319">
        <f t="shared" si="15"/>
        <v>68.542479999999998</v>
      </c>
      <c r="AM55" s="319">
        <f t="shared" si="16"/>
        <v>19.5</v>
      </c>
      <c r="AN55" s="319">
        <f t="shared" si="17"/>
        <v>88.042479999999998</v>
      </c>
      <c r="AO55" s="319">
        <v>2080</v>
      </c>
    </row>
    <row r="56" spans="1:41" ht="17.45" customHeight="1" x14ac:dyDescent="0.4">
      <c r="A56" s="264" t="s">
        <v>188</v>
      </c>
      <c r="B56" s="264">
        <v>189</v>
      </c>
      <c r="C56" s="269" t="s">
        <v>418</v>
      </c>
      <c r="D56" s="264" t="s">
        <v>185</v>
      </c>
      <c r="E56" s="264">
        <v>26.47</v>
      </c>
      <c r="F56" s="264" t="s">
        <v>98</v>
      </c>
      <c r="G56" s="263">
        <v>7</v>
      </c>
      <c r="H56" s="265">
        <f t="shared" si="10"/>
        <v>185.29</v>
      </c>
      <c r="I56" s="263">
        <v>20</v>
      </c>
      <c r="J56" s="265">
        <f t="shared" si="0"/>
        <v>794.1</v>
      </c>
      <c r="K56" s="266">
        <f t="shared" si="18"/>
        <v>27</v>
      </c>
      <c r="L56" s="267">
        <f t="shared" si="18"/>
        <v>979.39</v>
      </c>
      <c r="N56" s="263">
        <v>20.5</v>
      </c>
      <c r="O56" s="265">
        <f t="shared" si="2"/>
        <v>542.64</v>
      </c>
      <c r="P56" s="263">
        <v>0.5</v>
      </c>
      <c r="Q56" s="265">
        <f t="shared" si="3"/>
        <v>19.850000000000001</v>
      </c>
      <c r="R56" s="266">
        <f t="shared" si="19"/>
        <v>21</v>
      </c>
      <c r="S56" s="267">
        <f t="shared" si="19"/>
        <v>562.49</v>
      </c>
      <c r="U56" s="263">
        <v>10</v>
      </c>
      <c r="V56" s="265">
        <f t="shared" si="5"/>
        <v>264.7</v>
      </c>
      <c r="W56" s="263">
        <v>2.5</v>
      </c>
      <c r="X56" s="265">
        <f t="shared" si="6"/>
        <v>99.26</v>
      </c>
      <c r="Y56" s="266">
        <f t="shared" si="20"/>
        <v>12.5</v>
      </c>
      <c r="Z56" s="267">
        <f t="shared" si="20"/>
        <v>363.96</v>
      </c>
      <c r="AB56" s="263">
        <f t="shared" si="21"/>
        <v>37.5</v>
      </c>
      <c r="AC56" s="252">
        <f t="shared" si="21"/>
        <v>992.62999999999988</v>
      </c>
      <c r="AD56" s="263">
        <f t="shared" si="21"/>
        <v>23</v>
      </c>
      <c r="AE56" s="252">
        <f t="shared" si="21"/>
        <v>913.21</v>
      </c>
      <c r="AF56" s="266">
        <f t="shared" si="21"/>
        <v>60.5</v>
      </c>
      <c r="AG56" s="267">
        <f t="shared" si="9"/>
        <v>1905.8400000000001</v>
      </c>
      <c r="AI56" s="252">
        <f t="shared" si="11"/>
        <v>25.21</v>
      </c>
      <c r="AJ56" s="308">
        <v>26.47</v>
      </c>
      <c r="AK56" s="308"/>
      <c r="AL56" s="319">
        <f t="shared" si="15"/>
        <v>7</v>
      </c>
      <c r="AM56" s="319">
        <f t="shared" si="16"/>
        <v>20</v>
      </c>
      <c r="AN56" s="319">
        <f t="shared" si="17"/>
        <v>27</v>
      </c>
      <c r="AO56" s="319">
        <v>2080</v>
      </c>
    </row>
    <row r="57" spans="1:41" ht="17.45" customHeight="1" x14ac:dyDescent="0.4">
      <c r="A57" s="264" t="s">
        <v>204</v>
      </c>
      <c r="B57" s="264">
        <v>229</v>
      </c>
      <c r="C57" s="269" t="s">
        <v>419</v>
      </c>
      <c r="D57" s="264" t="s">
        <v>185</v>
      </c>
      <c r="E57" s="264">
        <v>22.58</v>
      </c>
      <c r="F57" s="264" t="s">
        <v>98</v>
      </c>
      <c r="G57" s="271">
        <v>9.5</v>
      </c>
      <c r="H57" s="265">
        <f t="shared" si="10"/>
        <v>214.51</v>
      </c>
      <c r="I57" s="271">
        <v>6.5</v>
      </c>
      <c r="J57" s="265">
        <f t="shared" si="0"/>
        <v>220.16</v>
      </c>
      <c r="K57" s="273">
        <f t="shared" si="18"/>
        <v>16</v>
      </c>
      <c r="L57" s="274">
        <f t="shared" si="18"/>
        <v>434.66999999999996</v>
      </c>
      <c r="N57" s="271">
        <v>27.5</v>
      </c>
      <c r="O57" s="265">
        <f t="shared" si="2"/>
        <v>620.95000000000005</v>
      </c>
      <c r="P57" s="271">
        <v>1</v>
      </c>
      <c r="Q57" s="265">
        <f t="shared" si="3"/>
        <v>33.869999999999997</v>
      </c>
      <c r="R57" s="273">
        <f t="shared" si="19"/>
        <v>28.5</v>
      </c>
      <c r="S57" s="274">
        <f t="shared" si="19"/>
        <v>654.82000000000005</v>
      </c>
      <c r="U57" s="271">
        <v>0</v>
      </c>
      <c r="V57" s="265">
        <f t="shared" si="5"/>
        <v>0</v>
      </c>
      <c r="W57" s="271">
        <v>0</v>
      </c>
      <c r="X57" s="265">
        <f t="shared" si="6"/>
        <v>0</v>
      </c>
      <c r="Y57" s="273">
        <f t="shared" si="20"/>
        <v>0</v>
      </c>
      <c r="Z57" s="274">
        <f t="shared" si="20"/>
        <v>0</v>
      </c>
      <c r="AB57" s="271">
        <f t="shared" si="21"/>
        <v>37</v>
      </c>
      <c r="AC57" s="272">
        <f t="shared" si="21"/>
        <v>835.46</v>
      </c>
      <c r="AD57" s="271">
        <f t="shared" si="21"/>
        <v>7.5</v>
      </c>
      <c r="AE57" s="272">
        <f t="shared" si="21"/>
        <v>254.03</v>
      </c>
      <c r="AF57" s="273">
        <f t="shared" si="21"/>
        <v>44.5</v>
      </c>
      <c r="AG57" s="274">
        <f t="shared" si="9"/>
        <v>1089.49</v>
      </c>
      <c r="AI57" s="252">
        <f t="shared" si="11"/>
        <v>21.5</v>
      </c>
      <c r="AJ57" s="308">
        <v>22.58</v>
      </c>
      <c r="AK57" s="308"/>
      <c r="AL57" s="319">
        <f t="shared" si="15"/>
        <v>9.5</v>
      </c>
      <c r="AM57" s="319">
        <f t="shared" si="16"/>
        <v>6.5</v>
      </c>
      <c r="AN57" s="319">
        <f t="shared" si="17"/>
        <v>16</v>
      </c>
      <c r="AO57" s="319">
        <v>2080</v>
      </c>
    </row>
    <row r="58" spans="1:41" ht="17.45" customHeight="1" x14ac:dyDescent="0.4">
      <c r="A58" s="264" t="s">
        <v>188</v>
      </c>
      <c r="B58" s="264">
        <v>213</v>
      </c>
      <c r="C58" s="250" t="s">
        <v>193</v>
      </c>
      <c r="D58" s="264" t="s">
        <v>185</v>
      </c>
      <c r="E58" s="264">
        <v>26.73</v>
      </c>
      <c r="F58" s="264" t="s">
        <v>98</v>
      </c>
      <c r="G58" s="263">
        <v>20.5</v>
      </c>
      <c r="H58" s="265">
        <f t="shared" si="10"/>
        <v>547.97</v>
      </c>
      <c r="I58" s="263">
        <v>20.5</v>
      </c>
      <c r="J58" s="265">
        <f t="shared" si="0"/>
        <v>821.95</v>
      </c>
      <c r="K58" s="266">
        <f t="shared" si="18"/>
        <v>41</v>
      </c>
      <c r="L58" s="267">
        <f t="shared" si="18"/>
        <v>1369.92</v>
      </c>
      <c r="N58" s="263">
        <v>9</v>
      </c>
      <c r="O58" s="265">
        <f t="shared" si="2"/>
        <v>240.57</v>
      </c>
      <c r="P58" s="263">
        <v>0.5</v>
      </c>
      <c r="Q58" s="265">
        <f t="shared" si="3"/>
        <v>20.05</v>
      </c>
      <c r="R58" s="266">
        <f t="shared" si="19"/>
        <v>9.5</v>
      </c>
      <c r="S58" s="267">
        <f t="shared" si="19"/>
        <v>260.62</v>
      </c>
      <c r="U58" s="263">
        <v>2.5</v>
      </c>
      <c r="V58" s="265">
        <f t="shared" si="5"/>
        <v>66.83</v>
      </c>
      <c r="W58" s="263">
        <v>18.5</v>
      </c>
      <c r="X58" s="265">
        <f t="shared" si="6"/>
        <v>741.76</v>
      </c>
      <c r="Y58" s="266">
        <f t="shared" si="20"/>
        <v>21</v>
      </c>
      <c r="Z58" s="267">
        <f t="shared" si="20"/>
        <v>808.59</v>
      </c>
      <c r="AB58" s="263">
        <f t="shared" si="21"/>
        <v>32</v>
      </c>
      <c r="AC58" s="252">
        <f t="shared" si="21"/>
        <v>855.37</v>
      </c>
      <c r="AD58" s="263">
        <f t="shared" si="21"/>
        <v>39.5</v>
      </c>
      <c r="AE58" s="252">
        <f t="shared" si="21"/>
        <v>1583.76</v>
      </c>
      <c r="AF58" s="266">
        <f t="shared" si="21"/>
        <v>71.5</v>
      </c>
      <c r="AG58" s="267">
        <f t="shared" si="9"/>
        <v>2439.13</v>
      </c>
      <c r="AI58" s="252">
        <f t="shared" si="11"/>
        <v>25.46</v>
      </c>
      <c r="AJ58" s="308">
        <v>26.73</v>
      </c>
      <c r="AK58" s="308"/>
      <c r="AL58" s="319">
        <f t="shared" si="15"/>
        <v>20.5</v>
      </c>
      <c r="AM58" s="319">
        <f t="shared" si="16"/>
        <v>20.5</v>
      </c>
      <c r="AN58" s="319">
        <f t="shared" si="17"/>
        <v>41</v>
      </c>
      <c r="AO58" s="319">
        <v>2080</v>
      </c>
    </row>
    <row r="59" spans="1:41" ht="17.45" customHeight="1" x14ac:dyDescent="0.4">
      <c r="A59" s="264" t="s">
        <v>188</v>
      </c>
      <c r="B59" s="264">
        <v>201</v>
      </c>
      <c r="C59" s="269" t="s">
        <v>371</v>
      </c>
      <c r="D59" s="264" t="s">
        <v>185</v>
      </c>
      <c r="E59" s="264">
        <v>40.130000000000003</v>
      </c>
      <c r="F59" s="264" t="s">
        <v>98</v>
      </c>
      <c r="G59" s="263">
        <v>26</v>
      </c>
      <c r="H59" s="265">
        <f t="shared" si="10"/>
        <v>1043.3800000000001</v>
      </c>
      <c r="I59" s="263">
        <v>0</v>
      </c>
      <c r="J59" s="265">
        <f t="shared" si="0"/>
        <v>0</v>
      </c>
      <c r="K59" s="266">
        <f t="shared" si="18"/>
        <v>26</v>
      </c>
      <c r="L59" s="267">
        <f t="shared" si="18"/>
        <v>1043.3800000000001</v>
      </c>
      <c r="N59" s="263">
        <v>0</v>
      </c>
      <c r="O59" s="265">
        <f t="shared" si="2"/>
        <v>0</v>
      </c>
      <c r="P59" s="263">
        <v>0</v>
      </c>
      <c r="Q59" s="265">
        <f t="shared" si="3"/>
        <v>0</v>
      </c>
      <c r="R59" s="266">
        <f t="shared" si="19"/>
        <v>0</v>
      </c>
      <c r="S59" s="267">
        <f t="shared" si="19"/>
        <v>0</v>
      </c>
      <c r="U59" s="263">
        <v>4</v>
      </c>
      <c r="V59" s="265">
        <f t="shared" si="5"/>
        <v>160.52000000000001</v>
      </c>
      <c r="W59" s="263"/>
      <c r="X59" s="265">
        <f t="shared" si="6"/>
        <v>0</v>
      </c>
      <c r="Y59" s="266">
        <f t="shared" si="20"/>
        <v>4</v>
      </c>
      <c r="Z59" s="267">
        <f t="shared" si="20"/>
        <v>160.52000000000001</v>
      </c>
      <c r="AB59" s="263">
        <f t="shared" si="21"/>
        <v>30</v>
      </c>
      <c r="AC59" s="252">
        <f t="shared" si="21"/>
        <v>1203.9000000000001</v>
      </c>
      <c r="AD59" s="263">
        <f t="shared" si="21"/>
        <v>0</v>
      </c>
      <c r="AE59" s="252">
        <f t="shared" si="21"/>
        <v>0</v>
      </c>
      <c r="AF59" s="266">
        <f t="shared" si="21"/>
        <v>30</v>
      </c>
      <c r="AG59" s="267">
        <f t="shared" si="9"/>
        <v>1203.9000000000001</v>
      </c>
      <c r="AI59" s="252">
        <f t="shared" si="11"/>
        <v>38.22</v>
      </c>
      <c r="AJ59" s="308">
        <v>40.130000000000003</v>
      </c>
      <c r="AK59" s="308"/>
      <c r="AL59" s="319">
        <f t="shared" si="15"/>
        <v>26</v>
      </c>
      <c r="AM59" s="319">
        <f t="shared" si="16"/>
        <v>0</v>
      </c>
      <c r="AN59" s="319">
        <f t="shared" si="17"/>
        <v>26</v>
      </c>
      <c r="AO59" s="319">
        <v>2080</v>
      </c>
    </row>
    <row r="60" spans="1:41" ht="17.45" customHeight="1" x14ac:dyDescent="0.4">
      <c r="A60" s="264" t="s">
        <v>188</v>
      </c>
      <c r="B60" s="264">
        <v>121</v>
      </c>
      <c r="C60" s="250" t="s">
        <v>191</v>
      </c>
      <c r="D60" s="264" t="s">
        <v>185</v>
      </c>
      <c r="E60" s="264">
        <v>32.729999999999997</v>
      </c>
      <c r="F60" s="264" t="s">
        <v>98</v>
      </c>
      <c r="G60" s="263">
        <v>53</v>
      </c>
      <c r="H60" s="265">
        <f t="shared" si="10"/>
        <v>1734.69</v>
      </c>
      <c r="I60" s="263">
        <v>45.5</v>
      </c>
      <c r="J60" s="265">
        <f t="shared" si="0"/>
        <v>2233.8200000000002</v>
      </c>
      <c r="K60" s="266">
        <f t="shared" si="18"/>
        <v>98.5</v>
      </c>
      <c r="L60" s="267">
        <f t="shared" si="18"/>
        <v>3968.51</v>
      </c>
      <c r="N60" s="263">
        <v>4</v>
      </c>
      <c r="O60" s="265">
        <f t="shared" si="2"/>
        <v>130.91999999999999</v>
      </c>
      <c r="P60" s="263">
        <v>0</v>
      </c>
      <c r="Q60" s="265">
        <f t="shared" si="3"/>
        <v>0</v>
      </c>
      <c r="R60" s="266">
        <f t="shared" si="19"/>
        <v>4</v>
      </c>
      <c r="S60" s="267">
        <f t="shared" si="19"/>
        <v>130.91999999999999</v>
      </c>
      <c r="U60" s="263"/>
      <c r="V60" s="265">
        <f t="shared" si="5"/>
        <v>0</v>
      </c>
      <c r="W60" s="263">
        <v>7</v>
      </c>
      <c r="X60" s="265">
        <f t="shared" si="6"/>
        <v>343.67</v>
      </c>
      <c r="Y60" s="266">
        <f t="shared" si="20"/>
        <v>7</v>
      </c>
      <c r="Z60" s="267">
        <f t="shared" si="20"/>
        <v>343.67</v>
      </c>
      <c r="AB60" s="263">
        <f t="shared" si="21"/>
        <v>57</v>
      </c>
      <c r="AC60" s="252">
        <f t="shared" si="21"/>
        <v>1865.6100000000001</v>
      </c>
      <c r="AD60" s="263">
        <f t="shared" si="21"/>
        <v>52.5</v>
      </c>
      <c r="AE60" s="252">
        <f t="shared" si="21"/>
        <v>2577.4900000000002</v>
      </c>
      <c r="AF60" s="266">
        <f t="shared" si="21"/>
        <v>109.5</v>
      </c>
      <c r="AG60" s="267">
        <f t="shared" si="9"/>
        <v>4443.1000000000004</v>
      </c>
      <c r="AI60" s="252">
        <f t="shared" si="11"/>
        <v>31.17</v>
      </c>
      <c r="AJ60" s="308">
        <v>32.729999999999997</v>
      </c>
      <c r="AK60" s="308"/>
      <c r="AL60" s="319">
        <f t="shared" si="15"/>
        <v>53</v>
      </c>
      <c r="AM60" s="319">
        <f t="shared" si="16"/>
        <v>45.5</v>
      </c>
      <c r="AN60" s="319">
        <f t="shared" si="17"/>
        <v>98.5</v>
      </c>
      <c r="AO60" s="319">
        <v>2080</v>
      </c>
    </row>
    <row r="61" spans="1:41" ht="17.45" customHeight="1" x14ac:dyDescent="0.4">
      <c r="A61" s="264" t="s">
        <v>188</v>
      </c>
      <c r="B61" s="264">
        <v>91</v>
      </c>
      <c r="C61" s="250" t="s">
        <v>191</v>
      </c>
      <c r="D61" s="264" t="s">
        <v>185</v>
      </c>
      <c r="E61" s="264">
        <v>34.32</v>
      </c>
      <c r="F61" s="264" t="s">
        <v>98</v>
      </c>
      <c r="G61" s="263">
        <v>52</v>
      </c>
      <c r="H61" s="265">
        <f t="shared" si="10"/>
        <v>1784.64</v>
      </c>
      <c r="I61" s="263">
        <v>27</v>
      </c>
      <c r="J61" s="265">
        <f t="shared" si="0"/>
        <v>1389.96</v>
      </c>
      <c r="K61" s="266">
        <f t="shared" si="18"/>
        <v>79</v>
      </c>
      <c r="L61" s="267">
        <f t="shared" si="18"/>
        <v>3174.6000000000004</v>
      </c>
      <c r="N61" s="263">
        <v>3.5</v>
      </c>
      <c r="O61" s="265">
        <f t="shared" si="2"/>
        <v>120.12</v>
      </c>
      <c r="P61" s="263">
        <v>0</v>
      </c>
      <c r="Q61" s="265">
        <f t="shared" si="3"/>
        <v>0</v>
      </c>
      <c r="R61" s="266">
        <f t="shared" si="19"/>
        <v>3.5</v>
      </c>
      <c r="S61" s="267">
        <f t="shared" si="19"/>
        <v>120.12</v>
      </c>
      <c r="U61" s="263">
        <v>0</v>
      </c>
      <c r="V61" s="265">
        <f t="shared" si="5"/>
        <v>0</v>
      </c>
      <c r="W61" s="263">
        <v>0</v>
      </c>
      <c r="X61" s="265">
        <f t="shared" si="6"/>
        <v>0</v>
      </c>
      <c r="Y61" s="266">
        <f t="shared" si="20"/>
        <v>0</v>
      </c>
      <c r="Z61" s="267">
        <f t="shared" si="20"/>
        <v>0</v>
      </c>
      <c r="AB61" s="263">
        <f t="shared" si="21"/>
        <v>55.5</v>
      </c>
      <c r="AC61" s="252">
        <f t="shared" si="21"/>
        <v>1904.7600000000002</v>
      </c>
      <c r="AD61" s="263">
        <f t="shared" si="21"/>
        <v>27</v>
      </c>
      <c r="AE61" s="252">
        <f t="shared" si="21"/>
        <v>1389.96</v>
      </c>
      <c r="AF61" s="266">
        <f t="shared" si="21"/>
        <v>82.5</v>
      </c>
      <c r="AG61" s="267">
        <f t="shared" si="9"/>
        <v>3294.7200000000003</v>
      </c>
      <c r="AI61" s="252">
        <f t="shared" si="11"/>
        <v>32.69</v>
      </c>
      <c r="AJ61" s="308">
        <v>34.32</v>
      </c>
      <c r="AK61" s="308"/>
      <c r="AL61" s="319">
        <f t="shared" si="15"/>
        <v>52</v>
      </c>
      <c r="AM61" s="319">
        <f t="shared" si="16"/>
        <v>27</v>
      </c>
      <c r="AN61" s="319">
        <f t="shared" si="17"/>
        <v>79</v>
      </c>
      <c r="AO61" s="319">
        <v>2080</v>
      </c>
    </row>
    <row r="62" spans="1:41" ht="17.45" customHeight="1" x14ac:dyDescent="0.4">
      <c r="A62" s="264" t="s">
        <v>188</v>
      </c>
      <c r="B62" s="264">
        <v>204</v>
      </c>
      <c r="C62" s="250" t="s">
        <v>191</v>
      </c>
      <c r="D62" s="264" t="s">
        <v>185</v>
      </c>
      <c r="E62" s="264">
        <v>26.02</v>
      </c>
      <c r="F62" s="264" t="s">
        <v>98</v>
      </c>
      <c r="G62" s="263">
        <v>80.5</v>
      </c>
      <c r="H62" s="265">
        <f t="shared" si="10"/>
        <v>2094.61</v>
      </c>
      <c r="I62" s="263">
        <v>24.5</v>
      </c>
      <c r="J62" s="265">
        <f t="shared" si="0"/>
        <v>956.24</v>
      </c>
      <c r="K62" s="266">
        <f t="shared" si="18"/>
        <v>105</v>
      </c>
      <c r="L62" s="267">
        <f t="shared" si="18"/>
        <v>3050.8500000000004</v>
      </c>
      <c r="N62" s="263">
        <v>15.5</v>
      </c>
      <c r="O62" s="265">
        <f t="shared" si="2"/>
        <v>403.31</v>
      </c>
      <c r="P62" s="263">
        <v>0</v>
      </c>
      <c r="Q62" s="265">
        <f t="shared" si="3"/>
        <v>0</v>
      </c>
      <c r="R62" s="266">
        <f t="shared" si="19"/>
        <v>15.5</v>
      </c>
      <c r="S62" s="267">
        <f t="shared" si="19"/>
        <v>403.31</v>
      </c>
      <c r="U62" s="263">
        <v>4</v>
      </c>
      <c r="V62" s="265">
        <f t="shared" si="5"/>
        <v>104.08</v>
      </c>
      <c r="W62" s="263">
        <v>0</v>
      </c>
      <c r="X62" s="265">
        <f t="shared" si="6"/>
        <v>0</v>
      </c>
      <c r="Y62" s="266">
        <f t="shared" si="20"/>
        <v>4</v>
      </c>
      <c r="Z62" s="267">
        <f t="shared" si="20"/>
        <v>104.08</v>
      </c>
      <c r="AB62" s="263">
        <f t="shared" si="21"/>
        <v>100</v>
      </c>
      <c r="AC62" s="252">
        <f t="shared" si="21"/>
        <v>2602</v>
      </c>
      <c r="AD62" s="263">
        <f t="shared" si="21"/>
        <v>24.5</v>
      </c>
      <c r="AE62" s="252">
        <f t="shared" si="21"/>
        <v>956.24</v>
      </c>
      <c r="AF62" s="266">
        <f t="shared" si="21"/>
        <v>124.5</v>
      </c>
      <c r="AG62" s="267">
        <f t="shared" si="9"/>
        <v>3558.2400000000002</v>
      </c>
      <c r="AI62" s="252">
        <f t="shared" si="11"/>
        <v>24.78</v>
      </c>
      <c r="AJ62" s="308">
        <v>26.02</v>
      </c>
      <c r="AK62" s="308"/>
      <c r="AL62" s="319">
        <f t="shared" si="15"/>
        <v>80.5</v>
      </c>
      <c r="AM62" s="319">
        <f t="shared" si="16"/>
        <v>24.5</v>
      </c>
      <c r="AN62" s="319">
        <f t="shared" si="17"/>
        <v>105</v>
      </c>
      <c r="AO62" s="319">
        <v>2080</v>
      </c>
    </row>
    <row r="63" spans="1:41" ht="17.45" customHeight="1" x14ac:dyDescent="0.4">
      <c r="A63" s="264" t="s">
        <v>207</v>
      </c>
      <c r="B63" s="264">
        <v>154</v>
      </c>
      <c r="C63" s="250" t="s">
        <v>209</v>
      </c>
      <c r="D63" s="264" t="s">
        <v>185</v>
      </c>
      <c r="E63" s="264">
        <v>104.95</v>
      </c>
      <c r="F63" s="264" t="s">
        <v>98</v>
      </c>
      <c r="G63" s="263">
        <v>74.085119999999989</v>
      </c>
      <c r="H63" s="265">
        <f t="shared" si="10"/>
        <v>7775.23</v>
      </c>
      <c r="I63" s="263">
        <v>0</v>
      </c>
      <c r="J63" s="265">
        <f t="shared" si="0"/>
        <v>0</v>
      </c>
      <c r="K63" s="266">
        <f t="shared" si="18"/>
        <v>74.085119999999989</v>
      </c>
      <c r="L63" s="267">
        <f t="shared" si="18"/>
        <v>7775.23</v>
      </c>
      <c r="N63" s="263">
        <v>51.482879999999987</v>
      </c>
      <c r="O63" s="265">
        <f t="shared" si="2"/>
        <v>5403.13</v>
      </c>
      <c r="P63" s="263">
        <v>0</v>
      </c>
      <c r="Q63" s="265">
        <f t="shared" si="3"/>
        <v>0</v>
      </c>
      <c r="R63" s="266">
        <f t="shared" si="19"/>
        <v>51.482879999999987</v>
      </c>
      <c r="S63" s="267">
        <f t="shared" si="19"/>
        <v>5403.13</v>
      </c>
      <c r="U63" s="263">
        <v>0</v>
      </c>
      <c r="V63" s="265">
        <f t="shared" si="5"/>
        <v>0</v>
      </c>
      <c r="W63" s="263">
        <v>0</v>
      </c>
      <c r="X63" s="265">
        <f t="shared" si="6"/>
        <v>0</v>
      </c>
      <c r="Y63" s="266">
        <f t="shared" si="20"/>
        <v>0</v>
      </c>
      <c r="Z63" s="267">
        <f t="shared" si="20"/>
        <v>0</v>
      </c>
      <c r="AB63" s="263">
        <f t="shared" si="21"/>
        <v>125.56799999999998</v>
      </c>
      <c r="AC63" s="252">
        <f t="shared" si="21"/>
        <v>13178.36</v>
      </c>
      <c r="AD63" s="263">
        <f t="shared" si="21"/>
        <v>0</v>
      </c>
      <c r="AE63" s="252">
        <f t="shared" si="21"/>
        <v>0</v>
      </c>
      <c r="AF63" s="266">
        <f t="shared" si="21"/>
        <v>125.56799999999998</v>
      </c>
      <c r="AG63" s="267">
        <f t="shared" si="9"/>
        <v>13178.36</v>
      </c>
      <c r="AI63" s="252">
        <f t="shared" si="11"/>
        <v>99.95</v>
      </c>
      <c r="AJ63" s="308">
        <v>104.95</v>
      </c>
      <c r="AK63" s="308"/>
      <c r="AL63" s="319">
        <f t="shared" si="15"/>
        <v>74.085119999999989</v>
      </c>
      <c r="AM63" s="319">
        <f t="shared" si="16"/>
        <v>0</v>
      </c>
      <c r="AN63" s="319">
        <f t="shared" si="17"/>
        <v>74.085119999999989</v>
      </c>
      <c r="AO63" s="319">
        <v>2080</v>
      </c>
    </row>
    <row r="64" spans="1:41" ht="17.45" customHeight="1" x14ac:dyDescent="0.4">
      <c r="A64" s="264" t="s">
        <v>188</v>
      </c>
      <c r="B64" s="264">
        <v>80</v>
      </c>
      <c r="C64" s="250" t="s">
        <v>190</v>
      </c>
      <c r="D64" s="264" t="s">
        <v>185</v>
      </c>
      <c r="E64" s="264">
        <v>44.5</v>
      </c>
      <c r="F64" s="264" t="s">
        <v>98</v>
      </c>
      <c r="G64" s="263">
        <v>0</v>
      </c>
      <c r="H64" s="265">
        <f t="shared" si="10"/>
        <v>0</v>
      </c>
      <c r="I64" s="263">
        <v>4</v>
      </c>
      <c r="J64" s="265">
        <f t="shared" si="0"/>
        <v>267</v>
      </c>
      <c r="K64" s="266">
        <f t="shared" ref="K64:L71" si="22">+G64+I64</f>
        <v>4</v>
      </c>
      <c r="L64" s="267">
        <f t="shared" si="22"/>
        <v>267</v>
      </c>
      <c r="N64" s="263">
        <v>0</v>
      </c>
      <c r="O64" s="265">
        <f t="shared" si="2"/>
        <v>0</v>
      </c>
      <c r="P64" s="263">
        <v>0</v>
      </c>
      <c r="Q64" s="265">
        <f t="shared" si="3"/>
        <v>0</v>
      </c>
      <c r="R64" s="266">
        <f t="shared" ref="R64:S72" si="23">+N64+P64</f>
        <v>0</v>
      </c>
      <c r="S64" s="267">
        <f t="shared" si="23"/>
        <v>0</v>
      </c>
      <c r="U64" s="263"/>
      <c r="V64" s="265">
        <f t="shared" si="5"/>
        <v>0</v>
      </c>
      <c r="W64" s="263">
        <v>6</v>
      </c>
      <c r="X64" s="265">
        <f t="shared" si="6"/>
        <v>400.5</v>
      </c>
      <c r="Y64" s="266">
        <f t="shared" ref="Y64:Z72" si="24">+U64+W64</f>
        <v>6</v>
      </c>
      <c r="Z64" s="267">
        <f t="shared" si="24"/>
        <v>400.5</v>
      </c>
      <c r="AB64" s="263">
        <f t="shared" ref="AB64:AF72" si="25">+G64+N64+U64</f>
        <v>0</v>
      </c>
      <c r="AC64" s="252">
        <f t="shared" si="25"/>
        <v>0</v>
      </c>
      <c r="AD64" s="263">
        <f t="shared" si="25"/>
        <v>10</v>
      </c>
      <c r="AE64" s="252">
        <f t="shared" si="25"/>
        <v>667.5</v>
      </c>
      <c r="AF64" s="266">
        <f t="shared" si="25"/>
        <v>10</v>
      </c>
      <c r="AG64" s="267">
        <f t="shared" si="9"/>
        <v>667.5</v>
      </c>
      <c r="AI64" s="252">
        <f t="shared" si="11"/>
        <v>42.38</v>
      </c>
      <c r="AJ64" s="308">
        <v>44.5</v>
      </c>
      <c r="AK64" s="308"/>
      <c r="AL64" s="319">
        <f t="shared" si="15"/>
        <v>0</v>
      </c>
      <c r="AM64" s="319">
        <f t="shared" si="16"/>
        <v>4</v>
      </c>
      <c r="AN64" s="319">
        <f t="shared" si="17"/>
        <v>4</v>
      </c>
      <c r="AO64" s="319">
        <v>2080</v>
      </c>
    </row>
    <row r="65" spans="1:41" ht="17.45" customHeight="1" x14ac:dyDescent="0.4">
      <c r="A65" s="254" t="s">
        <v>188</v>
      </c>
      <c r="B65" s="254">
        <v>196</v>
      </c>
      <c r="C65" s="250" t="s">
        <v>200</v>
      </c>
      <c r="D65" s="264" t="s">
        <v>185</v>
      </c>
      <c r="E65" s="264">
        <v>23.82</v>
      </c>
      <c r="F65" s="264" t="s">
        <v>98</v>
      </c>
      <c r="G65" s="263">
        <v>0</v>
      </c>
      <c r="H65" s="265">
        <f t="shared" si="10"/>
        <v>0</v>
      </c>
      <c r="I65" s="263">
        <v>10.5</v>
      </c>
      <c r="J65" s="265">
        <f t="shared" si="0"/>
        <v>375.17</v>
      </c>
      <c r="K65" s="266">
        <f t="shared" si="22"/>
        <v>10.5</v>
      </c>
      <c r="L65" s="267">
        <f t="shared" si="22"/>
        <v>375.17</v>
      </c>
      <c r="N65" s="263">
        <v>0</v>
      </c>
      <c r="O65" s="265">
        <f t="shared" si="2"/>
        <v>0</v>
      </c>
      <c r="P65" s="263">
        <v>0</v>
      </c>
      <c r="Q65" s="265">
        <f t="shared" si="3"/>
        <v>0</v>
      </c>
      <c r="R65" s="266">
        <f t="shared" si="23"/>
        <v>0</v>
      </c>
      <c r="S65" s="267">
        <f t="shared" si="23"/>
        <v>0</v>
      </c>
      <c r="U65" s="263">
        <v>0</v>
      </c>
      <c r="V65" s="265">
        <f t="shared" si="5"/>
        <v>0</v>
      </c>
      <c r="W65" s="263">
        <v>0</v>
      </c>
      <c r="X65" s="265">
        <f t="shared" si="6"/>
        <v>0</v>
      </c>
      <c r="Y65" s="266">
        <f t="shared" si="24"/>
        <v>0</v>
      </c>
      <c r="Z65" s="267">
        <f t="shared" si="24"/>
        <v>0</v>
      </c>
      <c r="AB65" s="263">
        <f t="shared" si="25"/>
        <v>0</v>
      </c>
      <c r="AC65" s="252">
        <f t="shared" si="25"/>
        <v>0</v>
      </c>
      <c r="AD65" s="263">
        <f t="shared" si="25"/>
        <v>10.5</v>
      </c>
      <c r="AE65" s="252">
        <f t="shared" si="25"/>
        <v>375.17</v>
      </c>
      <c r="AF65" s="266">
        <f t="shared" si="25"/>
        <v>10.5</v>
      </c>
      <c r="AG65" s="267">
        <f t="shared" si="9"/>
        <v>375.17</v>
      </c>
      <c r="AI65" s="252">
        <f t="shared" si="11"/>
        <v>22.69</v>
      </c>
      <c r="AJ65" s="308">
        <v>23.82</v>
      </c>
      <c r="AK65" s="308"/>
      <c r="AL65" s="319">
        <f t="shared" si="15"/>
        <v>0</v>
      </c>
      <c r="AM65" s="319">
        <f t="shared" si="16"/>
        <v>10.5</v>
      </c>
      <c r="AN65" s="319">
        <f t="shared" si="17"/>
        <v>10.5</v>
      </c>
      <c r="AO65" s="319">
        <v>2080</v>
      </c>
    </row>
    <row r="66" spans="1:41" ht="17.45" customHeight="1" x14ac:dyDescent="0.4">
      <c r="A66" s="264" t="s">
        <v>195</v>
      </c>
      <c r="B66" s="264">
        <v>152</v>
      </c>
      <c r="C66" s="250" t="s">
        <v>198</v>
      </c>
      <c r="D66" s="264" t="s">
        <v>185</v>
      </c>
      <c r="E66" s="264">
        <v>37.57</v>
      </c>
      <c r="F66" s="264" t="s">
        <v>98</v>
      </c>
      <c r="G66" s="263">
        <v>242</v>
      </c>
      <c r="H66" s="265">
        <f t="shared" si="10"/>
        <v>9091.94</v>
      </c>
      <c r="I66" s="263">
        <v>13.5</v>
      </c>
      <c r="J66" s="265">
        <f t="shared" si="0"/>
        <v>760.79</v>
      </c>
      <c r="K66" s="266">
        <f t="shared" si="22"/>
        <v>255.5</v>
      </c>
      <c r="L66" s="267">
        <f t="shared" si="22"/>
        <v>9852.73</v>
      </c>
      <c r="N66" s="263">
        <v>2</v>
      </c>
      <c r="O66" s="265">
        <f t="shared" si="2"/>
        <v>75.14</v>
      </c>
      <c r="P66" s="263">
        <v>0</v>
      </c>
      <c r="Q66" s="265">
        <f t="shared" si="3"/>
        <v>0</v>
      </c>
      <c r="R66" s="266">
        <f t="shared" si="23"/>
        <v>2</v>
      </c>
      <c r="S66" s="267">
        <f t="shared" si="23"/>
        <v>75.14</v>
      </c>
      <c r="U66" s="263"/>
      <c r="V66" s="265">
        <f t="shared" si="5"/>
        <v>0</v>
      </c>
      <c r="W66" s="263">
        <v>5.5</v>
      </c>
      <c r="X66" s="265">
        <f t="shared" si="6"/>
        <v>309.95</v>
      </c>
      <c r="Y66" s="266">
        <f t="shared" si="24"/>
        <v>5.5</v>
      </c>
      <c r="Z66" s="267">
        <f t="shared" si="24"/>
        <v>309.95</v>
      </c>
      <c r="AB66" s="263">
        <f t="shared" si="25"/>
        <v>244</v>
      </c>
      <c r="AC66" s="252">
        <f t="shared" si="25"/>
        <v>9167.08</v>
      </c>
      <c r="AD66" s="263">
        <f t="shared" si="25"/>
        <v>19</v>
      </c>
      <c r="AE66" s="252">
        <f t="shared" si="25"/>
        <v>1070.74</v>
      </c>
      <c r="AF66" s="266">
        <f t="shared" si="25"/>
        <v>263</v>
      </c>
      <c r="AG66" s="267">
        <f t="shared" si="9"/>
        <v>10237.82</v>
      </c>
      <c r="AI66" s="252">
        <f t="shared" si="11"/>
        <v>35.78</v>
      </c>
      <c r="AJ66" s="308">
        <v>37.57</v>
      </c>
      <c r="AK66" s="308"/>
      <c r="AL66" s="319">
        <f t="shared" si="15"/>
        <v>242</v>
      </c>
      <c r="AM66" s="319">
        <f t="shared" si="16"/>
        <v>13.5</v>
      </c>
      <c r="AN66" s="319">
        <f t="shared" si="17"/>
        <v>255.5</v>
      </c>
      <c r="AO66" s="319">
        <v>2080</v>
      </c>
    </row>
    <row r="67" spans="1:41" ht="17.45" customHeight="1" x14ac:dyDescent="0.4">
      <c r="A67" s="254" t="s">
        <v>195</v>
      </c>
      <c r="B67" s="254">
        <v>221</v>
      </c>
      <c r="C67" s="250" t="s">
        <v>199</v>
      </c>
      <c r="D67" s="264" t="s">
        <v>185</v>
      </c>
      <c r="E67" s="264">
        <v>20.86</v>
      </c>
      <c r="F67" s="264" t="s">
        <v>98</v>
      </c>
      <c r="G67" s="263">
        <v>50.5</v>
      </c>
      <c r="H67" s="265">
        <f t="shared" si="10"/>
        <v>1053.43</v>
      </c>
      <c r="I67" s="263">
        <v>20</v>
      </c>
      <c r="J67" s="265">
        <f t="shared" si="0"/>
        <v>625.79999999999995</v>
      </c>
      <c r="K67" s="266">
        <f t="shared" si="22"/>
        <v>70.5</v>
      </c>
      <c r="L67" s="267">
        <f t="shared" si="22"/>
        <v>1679.23</v>
      </c>
      <c r="N67" s="263">
        <v>34.5</v>
      </c>
      <c r="O67" s="265">
        <f t="shared" si="2"/>
        <v>719.67</v>
      </c>
      <c r="P67" s="263">
        <v>0</v>
      </c>
      <c r="Q67" s="265">
        <f t="shared" si="3"/>
        <v>0</v>
      </c>
      <c r="R67" s="266">
        <f t="shared" si="23"/>
        <v>34.5</v>
      </c>
      <c r="S67" s="267">
        <f t="shared" si="23"/>
        <v>719.67</v>
      </c>
      <c r="U67" s="263"/>
      <c r="V67" s="265">
        <f t="shared" si="5"/>
        <v>0</v>
      </c>
      <c r="W67" s="263">
        <v>5.5</v>
      </c>
      <c r="X67" s="265">
        <f t="shared" si="6"/>
        <v>172.1</v>
      </c>
      <c r="Y67" s="266">
        <f t="shared" si="24"/>
        <v>5.5</v>
      </c>
      <c r="Z67" s="267">
        <f t="shared" si="24"/>
        <v>172.1</v>
      </c>
      <c r="AB67" s="263">
        <f t="shared" si="25"/>
        <v>85</v>
      </c>
      <c r="AC67" s="252">
        <f t="shared" si="25"/>
        <v>1773.1</v>
      </c>
      <c r="AD67" s="263">
        <f t="shared" si="25"/>
        <v>25.5</v>
      </c>
      <c r="AE67" s="252">
        <f t="shared" si="25"/>
        <v>797.9</v>
      </c>
      <c r="AF67" s="266">
        <f t="shared" si="25"/>
        <v>110.5</v>
      </c>
      <c r="AG67" s="267">
        <f t="shared" si="9"/>
        <v>2571</v>
      </c>
      <c r="AI67" s="252">
        <f t="shared" si="11"/>
        <v>19.87</v>
      </c>
      <c r="AJ67" s="308">
        <v>20.86</v>
      </c>
      <c r="AK67" s="308"/>
      <c r="AL67" s="319">
        <f t="shared" si="15"/>
        <v>50.5</v>
      </c>
      <c r="AM67" s="319">
        <f t="shared" si="16"/>
        <v>20</v>
      </c>
      <c r="AN67" s="319">
        <f t="shared" si="17"/>
        <v>70.5</v>
      </c>
      <c r="AO67" s="319">
        <v>2080</v>
      </c>
    </row>
    <row r="68" spans="1:41" ht="17.45" customHeight="1" x14ac:dyDescent="0.4">
      <c r="A68" s="254" t="s">
        <v>195</v>
      </c>
      <c r="B68" s="254">
        <v>171</v>
      </c>
      <c r="C68" s="253" t="s">
        <v>420</v>
      </c>
      <c r="D68" s="264" t="s">
        <v>185</v>
      </c>
      <c r="E68" s="264">
        <v>24.82</v>
      </c>
      <c r="F68" s="264" t="s">
        <v>98</v>
      </c>
      <c r="G68" s="263">
        <v>225</v>
      </c>
      <c r="H68" s="265">
        <f t="shared" si="10"/>
        <v>5584.5</v>
      </c>
      <c r="I68" s="263">
        <v>3</v>
      </c>
      <c r="J68" s="265">
        <f t="shared" si="0"/>
        <v>111.69</v>
      </c>
      <c r="K68" s="266">
        <f t="shared" si="22"/>
        <v>228</v>
      </c>
      <c r="L68" s="267">
        <f t="shared" si="22"/>
        <v>5696.19</v>
      </c>
      <c r="N68" s="263">
        <v>0</v>
      </c>
      <c r="O68" s="265">
        <f t="shared" si="2"/>
        <v>0</v>
      </c>
      <c r="P68" s="263">
        <v>0</v>
      </c>
      <c r="Q68" s="265">
        <f t="shared" si="3"/>
        <v>0</v>
      </c>
      <c r="R68" s="266">
        <f t="shared" si="23"/>
        <v>0</v>
      </c>
      <c r="S68" s="267">
        <f t="shared" si="23"/>
        <v>0</v>
      </c>
      <c r="U68" s="263">
        <v>0</v>
      </c>
      <c r="V68" s="265">
        <f t="shared" si="5"/>
        <v>0</v>
      </c>
      <c r="W68" s="263">
        <v>0</v>
      </c>
      <c r="X68" s="265">
        <f t="shared" si="6"/>
        <v>0</v>
      </c>
      <c r="Y68" s="266">
        <f t="shared" si="24"/>
        <v>0</v>
      </c>
      <c r="Z68" s="267">
        <f t="shared" si="24"/>
        <v>0</v>
      </c>
      <c r="AB68" s="263">
        <f t="shared" si="25"/>
        <v>225</v>
      </c>
      <c r="AC68" s="252">
        <f t="shared" si="25"/>
        <v>5584.5</v>
      </c>
      <c r="AD68" s="263">
        <f t="shared" si="25"/>
        <v>3</v>
      </c>
      <c r="AE68" s="252">
        <f t="shared" si="25"/>
        <v>111.69</v>
      </c>
      <c r="AF68" s="266">
        <f t="shared" si="25"/>
        <v>228</v>
      </c>
      <c r="AG68" s="267">
        <f t="shared" si="9"/>
        <v>5696.19</v>
      </c>
      <c r="AI68" s="252">
        <f t="shared" si="11"/>
        <v>23.64</v>
      </c>
      <c r="AJ68" s="308">
        <v>24.82</v>
      </c>
      <c r="AK68" s="308"/>
      <c r="AL68" s="319">
        <f t="shared" si="15"/>
        <v>225</v>
      </c>
      <c r="AM68" s="319">
        <f t="shared" si="16"/>
        <v>3</v>
      </c>
      <c r="AN68" s="319">
        <f t="shared" si="17"/>
        <v>228</v>
      </c>
      <c r="AO68" s="319">
        <v>2080</v>
      </c>
    </row>
    <row r="69" spans="1:41" ht="17.45" customHeight="1" x14ac:dyDescent="0.4">
      <c r="A69" s="264" t="s">
        <v>195</v>
      </c>
      <c r="B69" s="264">
        <v>184</v>
      </c>
      <c r="C69" s="250" t="s">
        <v>199</v>
      </c>
      <c r="D69" s="264" t="s">
        <v>185</v>
      </c>
      <c r="E69" s="264">
        <v>22.22</v>
      </c>
      <c r="F69" s="264" t="s">
        <v>98</v>
      </c>
      <c r="G69" s="263">
        <v>236.5</v>
      </c>
      <c r="H69" s="265">
        <f t="shared" si="10"/>
        <v>5255.03</v>
      </c>
      <c r="I69" s="263">
        <v>33.5</v>
      </c>
      <c r="J69" s="265">
        <f t="shared" si="0"/>
        <v>1116.56</v>
      </c>
      <c r="K69" s="266">
        <f t="shared" si="22"/>
        <v>270</v>
      </c>
      <c r="L69" s="267">
        <f t="shared" si="22"/>
        <v>6371.59</v>
      </c>
      <c r="N69" s="263">
        <v>3</v>
      </c>
      <c r="O69" s="265">
        <f t="shared" si="2"/>
        <v>66.66</v>
      </c>
      <c r="P69" s="263">
        <v>0</v>
      </c>
      <c r="Q69" s="265">
        <f t="shared" si="3"/>
        <v>0</v>
      </c>
      <c r="R69" s="266">
        <f t="shared" si="23"/>
        <v>3</v>
      </c>
      <c r="S69" s="267">
        <f t="shared" si="23"/>
        <v>66.66</v>
      </c>
      <c r="U69" s="263">
        <v>2</v>
      </c>
      <c r="V69" s="265">
        <f t="shared" si="5"/>
        <v>44.44</v>
      </c>
      <c r="W69" s="263">
        <v>4</v>
      </c>
      <c r="X69" s="265">
        <f t="shared" si="6"/>
        <v>133.32</v>
      </c>
      <c r="Y69" s="266">
        <f t="shared" si="24"/>
        <v>6</v>
      </c>
      <c r="Z69" s="267">
        <f t="shared" si="24"/>
        <v>177.76</v>
      </c>
      <c r="AB69" s="263">
        <f t="shared" si="25"/>
        <v>241.5</v>
      </c>
      <c r="AC69" s="252">
        <f t="shared" si="25"/>
        <v>5366.1299999999992</v>
      </c>
      <c r="AD69" s="263">
        <f t="shared" si="25"/>
        <v>37.5</v>
      </c>
      <c r="AE69" s="252">
        <f t="shared" si="25"/>
        <v>1249.8799999999999</v>
      </c>
      <c r="AF69" s="266">
        <f t="shared" si="25"/>
        <v>279</v>
      </c>
      <c r="AG69" s="267">
        <f t="shared" si="9"/>
        <v>6616.01</v>
      </c>
      <c r="AI69" s="252">
        <f t="shared" si="11"/>
        <v>21.16</v>
      </c>
      <c r="AJ69" s="308">
        <v>22.22</v>
      </c>
      <c r="AK69" s="308"/>
      <c r="AL69" s="319">
        <f t="shared" si="15"/>
        <v>236.5</v>
      </c>
      <c r="AM69" s="319">
        <f t="shared" si="16"/>
        <v>33.5</v>
      </c>
      <c r="AN69" s="319">
        <f t="shared" si="17"/>
        <v>270</v>
      </c>
      <c r="AO69" s="319">
        <v>2080</v>
      </c>
    </row>
    <row r="70" spans="1:41" ht="17.45" customHeight="1" x14ac:dyDescent="0.4">
      <c r="A70" s="254" t="s">
        <v>188</v>
      </c>
      <c r="B70" s="254">
        <v>211</v>
      </c>
      <c r="C70" s="250" t="s">
        <v>201</v>
      </c>
      <c r="D70" s="264" t="s">
        <v>185</v>
      </c>
      <c r="E70" s="264">
        <v>20.77</v>
      </c>
      <c r="F70" s="264" t="s">
        <v>98</v>
      </c>
      <c r="G70" s="263">
        <v>49</v>
      </c>
      <c r="H70" s="265">
        <f t="shared" si="10"/>
        <v>1017.73</v>
      </c>
      <c r="I70" s="263">
        <v>21</v>
      </c>
      <c r="J70" s="265">
        <f t="shared" si="0"/>
        <v>654.26</v>
      </c>
      <c r="K70" s="266">
        <f t="shared" si="22"/>
        <v>70</v>
      </c>
      <c r="L70" s="267">
        <f t="shared" si="22"/>
        <v>1671.99</v>
      </c>
      <c r="N70" s="263">
        <v>18</v>
      </c>
      <c r="O70" s="265">
        <f t="shared" si="2"/>
        <v>373.86</v>
      </c>
      <c r="P70" s="263">
        <v>0</v>
      </c>
      <c r="Q70" s="265">
        <f t="shared" si="3"/>
        <v>0</v>
      </c>
      <c r="R70" s="266">
        <f t="shared" si="23"/>
        <v>18</v>
      </c>
      <c r="S70" s="267">
        <f t="shared" si="23"/>
        <v>373.86</v>
      </c>
      <c r="U70" s="263"/>
      <c r="V70" s="265">
        <f t="shared" si="5"/>
        <v>0</v>
      </c>
      <c r="W70" s="263">
        <v>9</v>
      </c>
      <c r="X70" s="265">
        <f t="shared" si="6"/>
        <v>280.39999999999998</v>
      </c>
      <c r="Y70" s="266">
        <f t="shared" si="24"/>
        <v>9</v>
      </c>
      <c r="Z70" s="267">
        <f t="shared" si="24"/>
        <v>280.39999999999998</v>
      </c>
      <c r="AB70" s="263">
        <f t="shared" si="25"/>
        <v>67</v>
      </c>
      <c r="AC70" s="252">
        <f t="shared" si="25"/>
        <v>1391.5900000000001</v>
      </c>
      <c r="AD70" s="263">
        <f t="shared" si="25"/>
        <v>30</v>
      </c>
      <c r="AE70" s="252">
        <f t="shared" si="25"/>
        <v>934.66</v>
      </c>
      <c r="AF70" s="266">
        <f t="shared" si="25"/>
        <v>97</v>
      </c>
      <c r="AG70" s="267">
        <f t="shared" si="9"/>
        <v>2326.25</v>
      </c>
      <c r="AI70" s="252">
        <f t="shared" si="11"/>
        <v>19.78</v>
      </c>
      <c r="AJ70" s="308">
        <v>20.77</v>
      </c>
      <c r="AK70" s="308"/>
      <c r="AL70" s="319">
        <f t="shared" si="15"/>
        <v>49</v>
      </c>
      <c r="AM70" s="319">
        <f t="shared" si="16"/>
        <v>21</v>
      </c>
      <c r="AN70" s="319">
        <f t="shared" si="17"/>
        <v>70</v>
      </c>
      <c r="AO70" s="319">
        <v>2080</v>
      </c>
    </row>
    <row r="71" spans="1:41" ht="17.45" customHeight="1" x14ac:dyDescent="0.4">
      <c r="A71" s="264" t="s">
        <v>195</v>
      </c>
      <c r="B71" s="264">
        <v>205</v>
      </c>
      <c r="C71" s="250" t="s">
        <v>201</v>
      </c>
      <c r="D71" s="264" t="s">
        <v>185</v>
      </c>
      <c r="E71" s="264">
        <v>20.65</v>
      </c>
      <c r="F71" s="264" t="s">
        <v>98</v>
      </c>
      <c r="G71" s="263">
        <v>57.5</v>
      </c>
      <c r="H71" s="265">
        <f t="shared" si="10"/>
        <v>1187.3800000000001</v>
      </c>
      <c r="I71" s="263">
        <v>50.5</v>
      </c>
      <c r="J71" s="265">
        <f t="shared" ref="J71" si="26">IF($F71="H",ROUND(($E71*1.5)*I71,2),IF($F71="S",ROUND(($E71/80)*I71,2),1))</f>
        <v>1564.24</v>
      </c>
      <c r="K71" s="266">
        <f t="shared" si="22"/>
        <v>108</v>
      </c>
      <c r="L71" s="267">
        <f t="shared" si="22"/>
        <v>2751.62</v>
      </c>
      <c r="N71" s="263">
        <v>43</v>
      </c>
      <c r="O71" s="265">
        <f t="shared" ref="O71" si="27">IF($F71="H",ROUND($E71*N71,2),IF($F71="S",ROUND(($E71/80)*N71,2),1))</f>
        <v>887.95</v>
      </c>
      <c r="P71" s="263">
        <v>5.5</v>
      </c>
      <c r="Q71" s="265">
        <f t="shared" ref="Q71" si="28">IF($F71="H",ROUND(($E71*1.5)*P71,2),IF($F71="S",ROUND(($E71/80)*P71,2),1))</f>
        <v>170.36</v>
      </c>
      <c r="R71" s="266">
        <f t="shared" si="23"/>
        <v>48.5</v>
      </c>
      <c r="S71" s="267">
        <f t="shared" si="23"/>
        <v>1058.31</v>
      </c>
      <c r="U71" s="263">
        <v>3.5</v>
      </c>
      <c r="V71" s="265">
        <f t="shared" ref="V71" si="29">IF($F71="H",ROUND($E71*U71,2),IF($F71="S",ROUND(($E71/80)*U71,2),1))</f>
        <v>72.28</v>
      </c>
      <c r="W71" s="263">
        <v>3</v>
      </c>
      <c r="X71" s="265">
        <f t="shared" ref="X71" si="30">IF($F71="H",ROUND(($E71*1.5)*W71,2),IF($F71="S",ROUND(($E71/80)*W71,2),1))</f>
        <v>92.93</v>
      </c>
      <c r="Y71" s="266">
        <f t="shared" si="24"/>
        <v>6.5</v>
      </c>
      <c r="Z71" s="267">
        <f t="shared" si="24"/>
        <v>165.21</v>
      </c>
      <c r="AB71" s="263">
        <f t="shared" si="25"/>
        <v>104</v>
      </c>
      <c r="AC71" s="252">
        <f t="shared" si="25"/>
        <v>2147.61</v>
      </c>
      <c r="AD71" s="263">
        <f t="shared" si="25"/>
        <v>59</v>
      </c>
      <c r="AE71" s="252">
        <f t="shared" si="25"/>
        <v>1827.53</v>
      </c>
      <c r="AF71" s="266">
        <f t="shared" si="25"/>
        <v>163</v>
      </c>
      <c r="AG71" s="267">
        <f t="shared" ref="AG71:AG72" si="31">+L71+S71+Z71+AQ71</f>
        <v>3975.14</v>
      </c>
      <c r="AI71" s="252">
        <f t="shared" si="11"/>
        <v>19.670000000000002</v>
      </c>
      <c r="AJ71" s="308">
        <v>20.65</v>
      </c>
      <c r="AK71" s="308"/>
      <c r="AL71" s="319">
        <f t="shared" si="15"/>
        <v>57.5</v>
      </c>
      <c r="AM71" s="319">
        <f t="shared" si="16"/>
        <v>50.5</v>
      </c>
      <c r="AN71" s="319">
        <f t="shared" si="17"/>
        <v>108</v>
      </c>
      <c r="AO71" s="319">
        <v>2080</v>
      </c>
    </row>
    <row r="72" spans="1:41" ht="17.45" customHeight="1" x14ac:dyDescent="0.4">
      <c r="A72" s="250" t="s">
        <v>221</v>
      </c>
      <c r="D72" s="264"/>
      <c r="E72" s="264"/>
      <c r="F72" s="264"/>
      <c r="G72" s="275">
        <v>0</v>
      </c>
      <c r="H72" s="276">
        <v>-208.69</v>
      </c>
      <c r="I72" s="275">
        <v>0</v>
      </c>
      <c r="J72" s="276">
        <v>0</v>
      </c>
      <c r="K72" s="277">
        <v>0</v>
      </c>
      <c r="L72" s="278">
        <f>+H72+J72</f>
        <v>-208.69</v>
      </c>
      <c r="N72" s="275"/>
      <c r="O72" s="276">
        <v>215.8</v>
      </c>
      <c r="P72" s="275"/>
      <c r="Q72" s="276"/>
      <c r="R72" s="277">
        <f t="shared" si="23"/>
        <v>0</v>
      </c>
      <c r="S72" s="278">
        <f t="shared" si="23"/>
        <v>215.8</v>
      </c>
      <c r="U72" s="275">
        <v>0</v>
      </c>
      <c r="V72" s="276">
        <v>0</v>
      </c>
      <c r="W72" s="275">
        <v>0</v>
      </c>
      <c r="X72" s="276">
        <v>0</v>
      </c>
      <c r="Y72" s="277">
        <f t="shared" si="24"/>
        <v>0</v>
      </c>
      <c r="Z72" s="278">
        <f t="shared" si="24"/>
        <v>0</v>
      </c>
      <c r="AB72" s="275">
        <f t="shared" si="25"/>
        <v>0</v>
      </c>
      <c r="AC72" s="276">
        <f t="shared" si="25"/>
        <v>7.1100000000000136</v>
      </c>
      <c r="AD72" s="275">
        <f t="shared" si="25"/>
        <v>0</v>
      </c>
      <c r="AE72" s="276">
        <f t="shared" si="25"/>
        <v>0</v>
      </c>
      <c r="AF72" s="277">
        <f t="shared" si="25"/>
        <v>0</v>
      </c>
      <c r="AG72" s="278">
        <f t="shared" si="31"/>
        <v>7.1100000000000136</v>
      </c>
    </row>
    <row r="73" spans="1:41" ht="17.45" customHeight="1" x14ac:dyDescent="0.4">
      <c r="A73" s="250" t="s">
        <v>222</v>
      </c>
      <c r="C73" s="249"/>
      <c r="D73" s="279"/>
      <c r="E73" s="279"/>
      <c r="F73" s="279"/>
      <c r="G73" s="273">
        <f t="shared" ref="G73:L73" si="32">SUM(G7:G72)</f>
        <v>6741.3389599999991</v>
      </c>
      <c r="H73" s="280">
        <f t="shared" si="32"/>
        <v>220473.14000000004</v>
      </c>
      <c r="I73" s="273">
        <f t="shared" si="32"/>
        <v>1070.38724</v>
      </c>
      <c r="J73" s="280">
        <f t="shared" si="32"/>
        <v>49144.960000000006</v>
      </c>
      <c r="K73" s="273">
        <f t="shared" si="32"/>
        <v>7811.7262000000001</v>
      </c>
      <c r="L73" s="280">
        <f t="shared" si="32"/>
        <v>269618.10000000009</v>
      </c>
      <c r="M73" s="274"/>
      <c r="N73" s="273">
        <f>SUM(N7:N71)</f>
        <v>2089.4570400000002</v>
      </c>
      <c r="O73" s="280">
        <f>SUM(O7:O72)</f>
        <v>100071.51999999999</v>
      </c>
      <c r="P73" s="273">
        <f>SUM(P7:P72)</f>
        <v>56.154759999999996</v>
      </c>
      <c r="Q73" s="280">
        <f>SUM(Q7:Q72)</f>
        <v>2708.4100000000008</v>
      </c>
      <c r="R73" s="273">
        <f>SUM(R7:R72)</f>
        <v>2145.6118000000001</v>
      </c>
      <c r="S73" s="280">
        <f>SUM(S7:S72)</f>
        <v>102779.93</v>
      </c>
      <c r="U73" s="273">
        <f t="shared" ref="U73:Z73" si="33">SUM(U7:U72)</f>
        <v>75</v>
      </c>
      <c r="V73" s="280">
        <f t="shared" si="33"/>
        <v>2530.36</v>
      </c>
      <c r="W73" s="273">
        <f t="shared" si="33"/>
        <v>126.5</v>
      </c>
      <c r="X73" s="280">
        <f t="shared" si="33"/>
        <v>5762.54</v>
      </c>
      <c r="Y73" s="273">
        <f t="shared" si="33"/>
        <v>201.5</v>
      </c>
      <c r="Z73" s="280">
        <f t="shared" si="33"/>
        <v>8292.9</v>
      </c>
      <c r="AB73" s="273">
        <f t="shared" ref="AB73:AG73" si="34">SUM(AB7:AB72)</f>
        <v>8905.7960000000003</v>
      </c>
      <c r="AC73" s="280">
        <f t="shared" si="34"/>
        <v>323075.02</v>
      </c>
      <c r="AD73" s="273">
        <f t="shared" si="34"/>
        <v>1253.0419999999999</v>
      </c>
      <c r="AE73" s="280">
        <f t="shared" si="34"/>
        <v>57615.909999999989</v>
      </c>
      <c r="AF73" s="273">
        <f t="shared" si="34"/>
        <v>10158.838</v>
      </c>
      <c r="AG73" s="280">
        <f t="shared" si="34"/>
        <v>380690.92999999988</v>
      </c>
      <c r="AI73" s="281"/>
      <c r="AL73" s="273">
        <f t="shared" ref="AL73:AO73" si="35">SUM(AL7:AL72)</f>
        <v>6741.3389599999991</v>
      </c>
      <c r="AM73" s="273">
        <f t="shared" si="35"/>
        <v>1070.38724</v>
      </c>
      <c r="AN73" s="273">
        <f t="shared" si="35"/>
        <v>7811.7262000000001</v>
      </c>
      <c r="AO73" s="273">
        <f t="shared" si="35"/>
        <v>135200</v>
      </c>
    </row>
    <row r="74" spans="1:41" ht="17.45" customHeight="1" x14ac:dyDescent="0.4">
      <c r="K74" s="263"/>
      <c r="R74" s="263"/>
      <c r="S74" s="252"/>
      <c r="U74" s="257"/>
      <c r="Y74" s="263"/>
      <c r="Z74" s="252"/>
      <c r="AF74" s="263"/>
      <c r="AG74" s="252"/>
    </row>
    <row r="75" spans="1:41" ht="17.45" customHeight="1" x14ac:dyDescent="0.4">
      <c r="A75" s="282" t="s">
        <v>387</v>
      </c>
      <c r="B75" s="254"/>
      <c r="C75" s="253"/>
      <c r="D75" s="269"/>
      <c r="E75" s="269"/>
      <c r="F75" s="269"/>
      <c r="G75" s="283"/>
      <c r="H75" s="265"/>
      <c r="I75" s="283"/>
      <c r="J75" s="265"/>
      <c r="K75" s="283"/>
      <c r="L75" s="265"/>
      <c r="R75" s="257"/>
      <c r="U75" s="257"/>
      <c r="Y75" s="257"/>
      <c r="AF75" s="257"/>
      <c r="AG75" s="281"/>
    </row>
    <row r="76" spans="1:41" ht="17.45" customHeight="1" x14ac:dyDescent="0.4">
      <c r="A76" s="284" t="s">
        <v>174</v>
      </c>
      <c r="B76" s="284" t="s">
        <v>175</v>
      </c>
      <c r="C76" s="285" t="s">
        <v>388</v>
      </c>
      <c r="D76" s="284" t="s">
        <v>389</v>
      </c>
      <c r="E76" s="269"/>
      <c r="F76" s="269"/>
      <c r="G76" s="283"/>
      <c r="H76" s="265"/>
      <c r="I76" s="283"/>
      <c r="J76" s="265"/>
      <c r="K76" s="283"/>
      <c r="L76" s="265"/>
      <c r="R76" s="257"/>
      <c r="U76" s="257"/>
      <c r="Y76" s="257"/>
      <c r="AF76" s="257"/>
    </row>
    <row r="77" spans="1:41" ht="17.45" customHeight="1" x14ac:dyDescent="0.4">
      <c r="A77" s="254" t="s">
        <v>207</v>
      </c>
      <c r="B77" s="254">
        <v>225</v>
      </c>
      <c r="C77" s="269" t="s">
        <v>223</v>
      </c>
      <c r="D77" s="286">
        <v>44995</v>
      </c>
      <c r="E77" s="287">
        <v>34.4</v>
      </c>
      <c r="F77" s="287" t="s">
        <v>98</v>
      </c>
      <c r="G77" s="288">
        <f>+H77/E77</f>
        <v>70.435174418604646</v>
      </c>
      <c r="H77" s="265">
        <v>2422.9699999999998</v>
      </c>
      <c r="I77" s="283">
        <v>0</v>
      </c>
      <c r="J77" s="265">
        <v>0</v>
      </c>
      <c r="K77" s="283">
        <f>+G77+I77</f>
        <v>70.435174418604646</v>
      </c>
      <c r="L77" s="265">
        <f>+H77+J77</f>
        <v>2422.9699999999998</v>
      </c>
      <c r="R77" s="257"/>
      <c r="U77" s="257"/>
      <c r="Y77" s="257"/>
      <c r="AF77" s="257"/>
      <c r="AI77" s="113">
        <v>2620.73</v>
      </c>
      <c r="AJ77" s="113">
        <v>2751.77</v>
      </c>
      <c r="AK77" s="113"/>
      <c r="AL77" s="319">
        <f t="shared" ref="AL77" si="36">G77</f>
        <v>70.435174418604646</v>
      </c>
      <c r="AM77" s="319">
        <f t="shared" ref="AM77" si="37">I77</f>
        <v>0</v>
      </c>
      <c r="AN77" s="319">
        <f t="shared" ref="AN77" si="38">SUM(AL77:AM77)</f>
        <v>70.435174418604646</v>
      </c>
      <c r="AO77" s="319">
        <v>2080</v>
      </c>
    </row>
    <row r="78" spans="1:41" ht="17.45" customHeight="1" x14ac:dyDescent="0.4">
      <c r="A78" s="254" t="s">
        <v>184</v>
      </c>
      <c r="B78" s="254">
        <v>210</v>
      </c>
      <c r="C78" s="269" t="s">
        <v>228</v>
      </c>
      <c r="D78" s="286">
        <v>45061</v>
      </c>
      <c r="E78" s="287">
        <v>23.31</v>
      </c>
      <c r="F78" s="287" t="s">
        <v>98</v>
      </c>
      <c r="G78" s="288">
        <f>+H78/E78</f>
        <v>120.8880308880309</v>
      </c>
      <c r="H78" s="265">
        <v>2817.9</v>
      </c>
      <c r="I78" s="283">
        <v>0</v>
      </c>
      <c r="J78" s="265">
        <v>0</v>
      </c>
      <c r="K78" s="283">
        <f t="shared" ref="K78:L80" si="39">+G78+I78</f>
        <v>120.8880308880309</v>
      </c>
      <c r="L78" s="265">
        <f t="shared" si="39"/>
        <v>2817.9</v>
      </c>
      <c r="R78" s="257"/>
      <c r="U78" s="257"/>
      <c r="Y78" s="257"/>
      <c r="AF78" s="257"/>
      <c r="AI78" s="310">
        <v>22.2</v>
      </c>
      <c r="AJ78" s="310">
        <v>23.31</v>
      </c>
      <c r="AK78" s="310"/>
      <c r="AL78" s="319">
        <f t="shared" ref="AL78:AL80" si="40">G78</f>
        <v>120.8880308880309</v>
      </c>
      <c r="AM78" s="319">
        <f t="shared" ref="AM78:AM80" si="41">I78</f>
        <v>0</v>
      </c>
      <c r="AN78" s="319">
        <f t="shared" ref="AN78:AN80" si="42">SUM(AL78:AM78)</f>
        <v>120.8880308880309</v>
      </c>
      <c r="AO78" s="319">
        <v>2080</v>
      </c>
    </row>
    <row r="79" spans="1:41" ht="17.45" customHeight="1" x14ac:dyDescent="0.4">
      <c r="A79" s="254" t="s">
        <v>184</v>
      </c>
      <c r="B79" s="254">
        <v>113</v>
      </c>
      <c r="C79" s="269" t="s">
        <v>224</v>
      </c>
      <c r="D79" s="286">
        <v>45325</v>
      </c>
      <c r="E79" s="287">
        <v>35.700000000000003</v>
      </c>
      <c r="F79" s="287" t="s">
        <v>98</v>
      </c>
      <c r="G79" s="288">
        <f>+H79/E79</f>
        <v>70.115126050420173</v>
      </c>
      <c r="H79" s="265">
        <v>2503.11</v>
      </c>
      <c r="I79" s="283">
        <v>0</v>
      </c>
      <c r="J79" s="265">
        <v>0</v>
      </c>
      <c r="K79" s="283">
        <f t="shared" si="39"/>
        <v>70.115126050420173</v>
      </c>
      <c r="L79" s="265">
        <f t="shared" si="39"/>
        <v>2503.11</v>
      </c>
      <c r="R79" s="257"/>
      <c r="U79" s="257"/>
      <c r="Y79" s="257"/>
      <c r="AF79" s="257"/>
      <c r="AI79" s="269">
        <v>2620.73</v>
      </c>
      <c r="AJ79" s="269">
        <v>2751.77</v>
      </c>
      <c r="AK79" s="269"/>
      <c r="AL79" s="319">
        <f t="shared" si="40"/>
        <v>70.115126050420173</v>
      </c>
      <c r="AM79" s="319">
        <f t="shared" si="41"/>
        <v>0</v>
      </c>
      <c r="AN79" s="319">
        <f t="shared" si="42"/>
        <v>70.115126050420173</v>
      </c>
      <c r="AO79" s="319">
        <v>2080</v>
      </c>
    </row>
    <row r="80" spans="1:41" ht="17.45" customHeight="1" x14ac:dyDescent="0.4">
      <c r="A80" s="254" t="s">
        <v>188</v>
      </c>
      <c r="B80" s="254">
        <v>196</v>
      </c>
      <c r="C80" s="269" t="s">
        <v>225</v>
      </c>
      <c r="D80" s="286">
        <v>45353</v>
      </c>
      <c r="E80" s="287">
        <v>26.25</v>
      </c>
      <c r="F80" s="287" t="s">
        <v>98</v>
      </c>
      <c r="G80" s="311">
        <f>+H80/E80</f>
        <v>148.92000000000002</v>
      </c>
      <c r="H80" s="290">
        <v>3909.15</v>
      </c>
      <c r="I80" s="289">
        <v>0</v>
      </c>
      <c r="J80" s="290">
        <v>0</v>
      </c>
      <c r="K80" s="289">
        <f t="shared" si="39"/>
        <v>148.92000000000002</v>
      </c>
      <c r="L80" s="290">
        <f t="shared" si="39"/>
        <v>3909.15</v>
      </c>
      <c r="R80" s="257"/>
      <c r="U80" s="257"/>
      <c r="Y80" s="257"/>
      <c r="AF80" s="257"/>
      <c r="AI80" s="113">
        <f>+AJ80/1.05</f>
        <v>25.238095238095237</v>
      </c>
      <c r="AJ80" s="113">
        <v>26.5</v>
      </c>
      <c r="AK80" s="113"/>
      <c r="AL80" s="319">
        <f t="shared" si="40"/>
        <v>148.92000000000002</v>
      </c>
      <c r="AM80" s="319">
        <f t="shared" si="41"/>
        <v>0</v>
      </c>
      <c r="AN80" s="319">
        <f t="shared" si="42"/>
        <v>148.92000000000002</v>
      </c>
      <c r="AO80" s="319">
        <v>2080</v>
      </c>
    </row>
    <row r="81" spans="1:41" ht="17.45" customHeight="1" x14ac:dyDescent="0.4">
      <c r="A81" s="253" t="s">
        <v>222</v>
      </c>
      <c r="B81" s="254"/>
      <c r="C81" s="269"/>
      <c r="D81" s="269"/>
      <c r="E81" s="269"/>
      <c r="F81" s="269"/>
      <c r="G81" s="283">
        <f t="shared" ref="G81:L81" si="43">SUM(G77:G80)</f>
        <v>410.35833135705576</v>
      </c>
      <c r="H81" s="265">
        <f t="shared" si="43"/>
        <v>11653.13</v>
      </c>
      <c r="I81" s="283">
        <f t="shared" si="43"/>
        <v>0</v>
      </c>
      <c r="J81" s="265">
        <f t="shared" si="43"/>
        <v>0</v>
      </c>
      <c r="K81" s="283">
        <f t="shared" si="43"/>
        <v>410.35833135705576</v>
      </c>
      <c r="L81" s="265">
        <f t="shared" si="43"/>
        <v>11653.13</v>
      </c>
      <c r="R81" s="257"/>
      <c r="U81" s="257"/>
      <c r="Y81" s="257"/>
      <c r="AF81" s="257"/>
    </row>
    <row r="82" spans="1:41" ht="17.45" customHeight="1" x14ac:dyDescent="0.4">
      <c r="A82" s="312" t="s">
        <v>421</v>
      </c>
      <c r="B82" s="254"/>
      <c r="C82" s="269"/>
      <c r="D82" s="269"/>
      <c r="E82" s="269"/>
      <c r="F82" s="269"/>
      <c r="G82" s="283"/>
      <c r="H82" s="265"/>
      <c r="I82" s="283"/>
      <c r="J82" s="265"/>
      <c r="K82" s="283"/>
      <c r="L82" s="265"/>
      <c r="R82" s="257"/>
      <c r="U82" s="257"/>
      <c r="Y82" s="257"/>
      <c r="AF82" s="257"/>
      <c r="AL82" s="319">
        <f>SUM(AL77:AL81)</f>
        <v>410.35833135705576</v>
      </c>
      <c r="AM82" s="319">
        <f t="shared" ref="AM82:AO82" si="44">SUM(AM77:AM81)</f>
        <v>0</v>
      </c>
      <c r="AN82" s="319">
        <f t="shared" si="44"/>
        <v>410.35833135705576</v>
      </c>
      <c r="AO82" s="319">
        <f t="shared" si="44"/>
        <v>8320</v>
      </c>
    </row>
    <row r="83" spans="1:41" ht="17.45" customHeight="1" x14ac:dyDescent="0.4">
      <c r="A83" s="107" t="s">
        <v>219</v>
      </c>
      <c r="B83" s="107">
        <v>153</v>
      </c>
      <c r="C83" s="250" t="s">
        <v>383</v>
      </c>
      <c r="D83" s="269"/>
      <c r="E83" s="269"/>
      <c r="F83" s="269"/>
      <c r="G83" s="283">
        <f t="shared" ref="G83:L83" si="45">+N21</f>
        <v>0</v>
      </c>
      <c r="H83" s="265">
        <f t="shared" si="45"/>
        <v>0</v>
      </c>
      <c r="I83" s="283">
        <f t="shared" si="45"/>
        <v>0</v>
      </c>
      <c r="J83" s="265">
        <f t="shared" si="45"/>
        <v>0</v>
      </c>
      <c r="K83" s="283">
        <f t="shared" si="45"/>
        <v>0</v>
      </c>
      <c r="L83" s="265">
        <f t="shared" si="45"/>
        <v>0</v>
      </c>
      <c r="R83" s="257"/>
      <c r="U83" s="257"/>
      <c r="Y83" s="257"/>
      <c r="AF83" s="257"/>
    </row>
    <row r="84" spans="1:41" ht="17.45" customHeight="1" x14ac:dyDescent="0.4">
      <c r="A84" s="107" t="s">
        <v>211</v>
      </c>
      <c r="B84" s="107">
        <v>217</v>
      </c>
      <c r="C84" s="250" t="s">
        <v>212</v>
      </c>
      <c r="D84" s="269"/>
      <c r="E84" s="269"/>
      <c r="F84" s="269"/>
      <c r="G84" s="283">
        <f t="shared" ref="G84:L84" si="46">+N32</f>
        <v>0</v>
      </c>
      <c r="H84" s="265">
        <f t="shared" si="46"/>
        <v>0</v>
      </c>
      <c r="I84" s="283">
        <f t="shared" si="46"/>
        <v>0</v>
      </c>
      <c r="J84" s="265">
        <f t="shared" si="46"/>
        <v>0</v>
      </c>
      <c r="K84" s="283">
        <f t="shared" si="46"/>
        <v>0</v>
      </c>
      <c r="L84" s="265">
        <f t="shared" si="46"/>
        <v>0</v>
      </c>
      <c r="R84" s="257"/>
      <c r="U84" s="257"/>
      <c r="Y84" s="257"/>
      <c r="AF84" s="257"/>
      <c r="AL84" s="319">
        <f>SUM(AL73,AL82)</f>
        <v>7151.6972913570553</v>
      </c>
      <c r="AM84" s="319">
        <f t="shared" ref="AM84:AO84" si="47">SUM(AM73,AM82)</f>
        <v>1070.38724</v>
      </c>
      <c r="AN84" s="319">
        <f t="shared" si="47"/>
        <v>8222.0845313570553</v>
      </c>
      <c r="AO84" s="319">
        <f t="shared" si="47"/>
        <v>143520</v>
      </c>
    </row>
    <row r="85" spans="1:41" ht="17.45" customHeight="1" x14ac:dyDescent="0.4">
      <c r="A85" s="107" t="s">
        <v>207</v>
      </c>
      <c r="B85" s="107">
        <v>41</v>
      </c>
      <c r="C85" s="250" t="s">
        <v>220</v>
      </c>
      <c r="D85" s="269"/>
      <c r="E85" s="269"/>
      <c r="F85" s="269"/>
      <c r="G85" s="289">
        <f t="shared" ref="G85:L85" si="48">+N35</f>
        <v>0</v>
      </c>
      <c r="H85" s="290">
        <f t="shared" si="48"/>
        <v>0</v>
      </c>
      <c r="I85" s="289">
        <f t="shared" si="48"/>
        <v>0</v>
      </c>
      <c r="J85" s="290">
        <f t="shared" si="48"/>
        <v>0</v>
      </c>
      <c r="K85" s="289">
        <f t="shared" si="48"/>
        <v>0</v>
      </c>
      <c r="L85" s="290">
        <f t="shared" si="48"/>
        <v>0</v>
      </c>
      <c r="R85" s="257"/>
      <c r="U85" s="257"/>
      <c r="Y85" s="257"/>
      <c r="AF85" s="257"/>
    </row>
    <row r="86" spans="1:41" ht="17.45" customHeight="1" x14ac:dyDescent="0.4">
      <c r="A86" s="253" t="s">
        <v>222</v>
      </c>
      <c r="B86" s="254"/>
      <c r="C86" s="269"/>
      <c r="D86" s="269"/>
      <c r="E86" s="269"/>
      <c r="F86" s="269"/>
      <c r="G86" s="283">
        <f t="shared" ref="G86:L86" si="49">SUM(G83:G85)</f>
        <v>0</v>
      </c>
      <c r="H86" s="265">
        <f t="shared" si="49"/>
        <v>0</v>
      </c>
      <c r="I86" s="283">
        <f t="shared" si="49"/>
        <v>0</v>
      </c>
      <c r="J86" s="265">
        <f t="shared" si="49"/>
        <v>0</v>
      </c>
      <c r="K86" s="283">
        <f t="shared" si="49"/>
        <v>0</v>
      </c>
      <c r="L86" s="265">
        <f t="shared" si="49"/>
        <v>0</v>
      </c>
      <c r="R86" s="257"/>
      <c r="U86" s="257"/>
      <c r="Y86" s="257"/>
      <c r="AF86" s="257"/>
    </row>
    <row r="87" spans="1:41" ht="17.45" customHeight="1" x14ac:dyDescent="0.4">
      <c r="A87" s="254"/>
      <c r="B87" s="254"/>
      <c r="C87" s="269"/>
      <c r="D87" s="269"/>
      <c r="E87" s="269"/>
      <c r="F87" s="269"/>
      <c r="G87" s="265"/>
      <c r="H87" s="265"/>
      <c r="I87" s="283"/>
      <c r="J87" s="265"/>
      <c r="K87" s="283"/>
      <c r="L87" s="265"/>
      <c r="AG87" s="252"/>
    </row>
    <row r="88" spans="1:41" ht="13.5" thickBot="1" x14ac:dyDescent="0.45">
      <c r="A88" s="253" t="s">
        <v>390</v>
      </c>
      <c r="B88" s="254"/>
      <c r="C88" s="269"/>
      <c r="D88" s="269"/>
      <c r="E88" s="269"/>
      <c r="F88" s="269"/>
      <c r="G88" s="291">
        <f t="shared" ref="G88:L88" si="50">+G73+G81+G86</f>
        <v>7151.6972913570553</v>
      </c>
      <c r="H88" s="292">
        <f t="shared" si="50"/>
        <v>232126.27000000005</v>
      </c>
      <c r="I88" s="291">
        <f t="shared" si="50"/>
        <v>1070.38724</v>
      </c>
      <c r="J88" s="292">
        <f t="shared" si="50"/>
        <v>49144.960000000006</v>
      </c>
      <c r="K88" s="291">
        <f t="shared" si="50"/>
        <v>8222.0845313570553</v>
      </c>
      <c r="L88" s="292">
        <f t="shared" si="50"/>
        <v>281271.2300000001</v>
      </c>
    </row>
    <row r="89" spans="1:41" ht="17.45" customHeight="1" thickTop="1" x14ac:dyDescent="0.4">
      <c r="P89" s="251"/>
      <c r="AG89" s="268"/>
    </row>
    <row r="90" spans="1:41" ht="17.45" customHeight="1" x14ac:dyDescent="0.4">
      <c r="J90" s="265" t="s">
        <v>391</v>
      </c>
      <c r="K90" s="283"/>
      <c r="L90" s="265">
        <f>+L88</f>
        <v>281271.2300000001</v>
      </c>
      <c r="P90" s="251"/>
      <c r="AG90" s="268"/>
    </row>
    <row r="91" spans="1:41" ht="17.45" customHeight="1" x14ac:dyDescent="0.4">
      <c r="J91" s="265" t="s">
        <v>392</v>
      </c>
      <c r="K91" s="283"/>
      <c r="L91" s="265">
        <v>-228655.63857119993</v>
      </c>
      <c r="P91" s="251"/>
      <c r="AG91" s="268"/>
    </row>
    <row r="92" spans="1:41" ht="17.45" customHeight="1" thickBot="1" x14ac:dyDescent="0.45">
      <c r="J92" s="283" t="s">
        <v>393</v>
      </c>
      <c r="K92" s="283"/>
      <c r="L92" s="293">
        <f>+L90+L91</f>
        <v>52615.591428800166</v>
      </c>
      <c r="P92" s="251"/>
      <c r="AG92" s="268"/>
    </row>
    <row r="93" spans="1:41" ht="17.45" customHeight="1" thickTop="1" x14ac:dyDescent="0.4">
      <c r="J93" s="283"/>
      <c r="K93" s="283"/>
      <c r="L93" s="294"/>
      <c r="P93" s="251"/>
      <c r="AG93" s="268"/>
    </row>
    <row r="94" spans="1:41" ht="17.45" customHeight="1" x14ac:dyDescent="0.4">
      <c r="J94" s="283"/>
      <c r="K94" s="283"/>
      <c r="L94" s="294"/>
      <c r="P94" s="251"/>
      <c r="AG94" s="268"/>
    </row>
    <row r="95" spans="1:41" ht="17.45" customHeight="1" x14ac:dyDescent="0.4">
      <c r="AG95" s="268"/>
    </row>
    <row r="96" spans="1:41" x14ac:dyDescent="0.4">
      <c r="A96" s="282" t="s">
        <v>394</v>
      </c>
    </row>
    <row r="97" spans="1:41" x14ac:dyDescent="0.4">
      <c r="A97" s="264" t="s">
        <v>195</v>
      </c>
      <c r="B97" s="264">
        <v>195</v>
      </c>
      <c r="C97" s="250" t="s">
        <v>202</v>
      </c>
      <c r="D97" s="264" t="s">
        <v>363</v>
      </c>
      <c r="E97" s="264"/>
      <c r="F97" s="264"/>
      <c r="G97" s="263">
        <v>15</v>
      </c>
      <c r="H97" s="252">
        <v>262.5</v>
      </c>
      <c r="I97" s="263">
        <v>0.5</v>
      </c>
      <c r="J97" s="252">
        <v>13.13</v>
      </c>
      <c r="K97" s="266">
        <f t="shared" ref="K97:L102" si="51">+G97+I97</f>
        <v>15.5</v>
      </c>
      <c r="L97" s="267">
        <f t="shared" si="51"/>
        <v>275.63</v>
      </c>
      <c r="N97" s="263">
        <v>38.5</v>
      </c>
      <c r="O97" s="252">
        <v>673.75</v>
      </c>
      <c r="P97" s="263">
        <v>0</v>
      </c>
      <c r="Q97" s="252">
        <v>0</v>
      </c>
      <c r="R97" s="266">
        <f t="shared" ref="R97:S102" si="52">+N97+P97</f>
        <v>38.5</v>
      </c>
      <c r="S97" s="267">
        <f t="shared" si="52"/>
        <v>673.75</v>
      </c>
      <c r="U97" s="263"/>
      <c r="V97" s="252"/>
      <c r="W97" s="263">
        <v>7</v>
      </c>
      <c r="X97" s="252">
        <v>183.75</v>
      </c>
      <c r="Y97" s="266">
        <f t="shared" ref="Y97:Z102" si="53">+U97+W97</f>
        <v>7</v>
      </c>
      <c r="Z97" s="267">
        <f t="shared" si="53"/>
        <v>183.75</v>
      </c>
      <c r="AB97" s="263">
        <f t="shared" ref="AB97:AF102" si="54">+G97+N97+U97</f>
        <v>53.5</v>
      </c>
      <c r="AC97" s="252">
        <f t="shared" si="54"/>
        <v>936.25</v>
      </c>
      <c r="AD97" s="263">
        <f t="shared" si="54"/>
        <v>7.5</v>
      </c>
      <c r="AE97" s="252">
        <f t="shared" si="54"/>
        <v>196.88</v>
      </c>
      <c r="AF97" s="266">
        <f t="shared" si="54"/>
        <v>61</v>
      </c>
      <c r="AG97" s="267" t="e">
        <f>+L97+S97+Z97+#REF!</f>
        <v>#REF!</v>
      </c>
    </row>
    <row r="98" spans="1:41" ht="17.45" customHeight="1" x14ac:dyDescent="0.4">
      <c r="A98" s="264"/>
      <c r="B98" s="264"/>
      <c r="C98" s="250" t="s">
        <v>202</v>
      </c>
      <c r="D98" s="264" t="s">
        <v>395</v>
      </c>
      <c r="E98" s="264"/>
      <c r="F98" s="264"/>
      <c r="G98" s="263">
        <v>0</v>
      </c>
      <c r="H98" s="252">
        <v>0</v>
      </c>
      <c r="I98" s="263">
        <v>11.5</v>
      </c>
      <c r="J98" s="252">
        <v>293.25</v>
      </c>
      <c r="K98" s="266">
        <f t="shared" si="51"/>
        <v>11.5</v>
      </c>
      <c r="L98" s="267">
        <f t="shared" si="51"/>
        <v>293.25</v>
      </c>
      <c r="N98" s="263">
        <v>0</v>
      </c>
      <c r="O98" s="252">
        <v>0</v>
      </c>
      <c r="P98" s="263">
        <v>0</v>
      </c>
      <c r="Q98" s="252">
        <v>0</v>
      </c>
      <c r="R98" s="266">
        <f t="shared" si="52"/>
        <v>0</v>
      </c>
      <c r="S98" s="267">
        <f t="shared" si="52"/>
        <v>0</v>
      </c>
      <c r="U98" s="263">
        <v>0</v>
      </c>
      <c r="V98" s="252">
        <v>0</v>
      </c>
      <c r="W98" s="263">
        <v>0</v>
      </c>
      <c r="X98" s="252">
        <v>0</v>
      </c>
      <c r="Y98" s="266">
        <f t="shared" si="53"/>
        <v>0</v>
      </c>
      <c r="Z98" s="267">
        <f t="shared" si="53"/>
        <v>0</v>
      </c>
      <c r="AB98" s="263">
        <f t="shared" si="54"/>
        <v>0</v>
      </c>
      <c r="AC98" s="252">
        <f t="shared" si="54"/>
        <v>0</v>
      </c>
      <c r="AD98" s="263">
        <f t="shared" si="54"/>
        <v>11.5</v>
      </c>
      <c r="AE98" s="252">
        <f t="shared" si="54"/>
        <v>293.25</v>
      </c>
      <c r="AF98" s="266">
        <f t="shared" si="54"/>
        <v>11.5</v>
      </c>
      <c r="AG98" s="267">
        <f t="shared" ref="AG98:AG103" si="55">+L98+S98+Z98+AQ98</f>
        <v>293.25</v>
      </c>
    </row>
    <row r="99" spans="1:41" ht="17.45" customHeight="1" x14ac:dyDescent="0.4">
      <c r="A99" s="264"/>
      <c r="B99" s="264"/>
      <c r="C99" s="250" t="s">
        <v>396</v>
      </c>
      <c r="D99" s="264" t="s">
        <v>395</v>
      </c>
      <c r="E99" s="264"/>
      <c r="F99" s="264"/>
      <c r="G99" s="263">
        <v>0</v>
      </c>
      <c r="H99" s="252">
        <v>0</v>
      </c>
      <c r="I99" s="263">
        <v>0</v>
      </c>
      <c r="J99" s="252">
        <v>0</v>
      </c>
      <c r="K99" s="266">
        <f t="shared" si="51"/>
        <v>0</v>
      </c>
      <c r="L99" s="267">
        <f t="shared" si="51"/>
        <v>0</v>
      </c>
      <c r="N99" s="263">
        <v>525.5</v>
      </c>
      <c r="O99" s="252">
        <v>13514.150000000012</v>
      </c>
      <c r="P99" s="263">
        <v>0</v>
      </c>
      <c r="Q99" s="252">
        <v>0</v>
      </c>
      <c r="R99" s="266">
        <f t="shared" si="52"/>
        <v>525.5</v>
      </c>
      <c r="S99" s="267">
        <f t="shared" si="52"/>
        <v>13514.150000000012</v>
      </c>
      <c r="U99" s="263">
        <v>0</v>
      </c>
      <c r="V99" s="252">
        <v>0</v>
      </c>
      <c r="W99" s="263">
        <v>0</v>
      </c>
      <c r="X99" s="252">
        <v>0</v>
      </c>
      <c r="Y99" s="266">
        <f t="shared" si="53"/>
        <v>0</v>
      </c>
      <c r="Z99" s="267">
        <f t="shared" si="53"/>
        <v>0</v>
      </c>
      <c r="AB99" s="263">
        <f t="shared" si="54"/>
        <v>525.5</v>
      </c>
      <c r="AC99" s="252">
        <f t="shared" si="54"/>
        <v>13514.150000000012</v>
      </c>
      <c r="AD99" s="263">
        <f t="shared" si="54"/>
        <v>0</v>
      </c>
      <c r="AE99" s="252">
        <f t="shared" si="54"/>
        <v>0</v>
      </c>
      <c r="AF99" s="266">
        <f t="shared" si="54"/>
        <v>525.5</v>
      </c>
      <c r="AG99" s="267">
        <f t="shared" si="55"/>
        <v>13514.150000000012</v>
      </c>
    </row>
    <row r="100" spans="1:41" ht="17.45" customHeight="1" x14ac:dyDescent="0.4">
      <c r="A100" s="264"/>
      <c r="B100" s="264"/>
      <c r="C100" s="250" t="s">
        <v>206</v>
      </c>
      <c r="D100" s="264" t="s">
        <v>395</v>
      </c>
      <c r="E100" s="264"/>
      <c r="F100" s="264"/>
      <c r="G100" s="263">
        <v>0</v>
      </c>
      <c r="H100" s="252">
        <v>0</v>
      </c>
      <c r="I100" s="263">
        <v>0</v>
      </c>
      <c r="J100" s="252">
        <v>0</v>
      </c>
      <c r="K100" s="266">
        <f t="shared" si="51"/>
        <v>0</v>
      </c>
      <c r="L100" s="267">
        <f t="shared" si="51"/>
        <v>0</v>
      </c>
      <c r="N100" s="263">
        <v>85</v>
      </c>
      <c r="O100" s="252">
        <v>4390.300000000002</v>
      </c>
      <c r="P100" s="263">
        <v>0</v>
      </c>
      <c r="Q100" s="252">
        <v>0</v>
      </c>
      <c r="R100" s="266">
        <f t="shared" si="52"/>
        <v>85</v>
      </c>
      <c r="S100" s="267">
        <f t="shared" si="52"/>
        <v>4390.300000000002</v>
      </c>
      <c r="U100" s="263">
        <v>0</v>
      </c>
      <c r="V100" s="252">
        <v>0</v>
      </c>
      <c r="W100" s="263">
        <v>0</v>
      </c>
      <c r="X100" s="252">
        <v>0</v>
      </c>
      <c r="Y100" s="266">
        <f t="shared" si="53"/>
        <v>0</v>
      </c>
      <c r="Z100" s="267">
        <f t="shared" si="53"/>
        <v>0</v>
      </c>
      <c r="AB100" s="263">
        <f t="shared" si="54"/>
        <v>85</v>
      </c>
      <c r="AC100" s="252">
        <f t="shared" si="54"/>
        <v>4390.300000000002</v>
      </c>
      <c r="AD100" s="263">
        <f t="shared" si="54"/>
        <v>0</v>
      </c>
      <c r="AE100" s="252">
        <f t="shared" si="54"/>
        <v>0</v>
      </c>
      <c r="AF100" s="266">
        <f t="shared" si="54"/>
        <v>85</v>
      </c>
      <c r="AG100" s="267">
        <f t="shared" si="55"/>
        <v>4390.300000000002</v>
      </c>
    </row>
    <row r="101" spans="1:41" ht="17.45" customHeight="1" x14ac:dyDescent="0.4">
      <c r="A101" s="264" t="s">
        <v>195</v>
      </c>
      <c r="B101" s="264">
        <v>167</v>
      </c>
      <c r="C101" s="269" t="s">
        <v>382</v>
      </c>
      <c r="D101" s="264" t="s">
        <v>363</v>
      </c>
      <c r="E101" s="264"/>
      <c r="F101" s="264"/>
      <c r="G101" s="263">
        <v>7.5</v>
      </c>
      <c r="H101" s="252">
        <v>165.3</v>
      </c>
      <c r="I101" s="263">
        <v>25.5</v>
      </c>
      <c r="J101" s="252">
        <v>843.06000000000006</v>
      </c>
      <c r="K101" s="266">
        <f t="shared" si="51"/>
        <v>33</v>
      </c>
      <c r="L101" s="267">
        <f t="shared" si="51"/>
        <v>1008.3600000000001</v>
      </c>
      <c r="N101" s="263">
        <v>2</v>
      </c>
      <c r="O101" s="252">
        <v>44.08</v>
      </c>
      <c r="P101" s="263">
        <v>0</v>
      </c>
      <c r="Q101" s="252">
        <v>0</v>
      </c>
      <c r="R101" s="266">
        <f t="shared" si="52"/>
        <v>2</v>
      </c>
      <c r="S101" s="267">
        <f t="shared" si="52"/>
        <v>44.08</v>
      </c>
      <c r="U101" s="263">
        <v>10</v>
      </c>
      <c r="V101" s="252">
        <v>220.4</v>
      </c>
      <c r="W101" s="263">
        <v>3.5</v>
      </c>
      <c r="X101" s="252">
        <v>115.71000000000001</v>
      </c>
      <c r="Y101" s="266">
        <f t="shared" si="53"/>
        <v>13.5</v>
      </c>
      <c r="Z101" s="267">
        <f t="shared" si="53"/>
        <v>336.11</v>
      </c>
      <c r="AB101" s="263">
        <f t="shared" si="54"/>
        <v>19.5</v>
      </c>
      <c r="AC101" s="252">
        <f t="shared" si="54"/>
        <v>429.78</v>
      </c>
      <c r="AD101" s="263">
        <f t="shared" si="54"/>
        <v>29</v>
      </c>
      <c r="AE101" s="252">
        <f t="shared" si="54"/>
        <v>958.7700000000001</v>
      </c>
      <c r="AF101" s="266">
        <f t="shared" si="54"/>
        <v>48.5</v>
      </c>
      <c r="AG101" s="267">
        <f t="shared" si="55"/>
        <v>1388.5500000000002</v>
      </c>
    </row>
    <row r="102" spans="1:41" ht="17.45" customHeight="1" x14ac:dyDescent="0.4">
      <c r="A102" s="264" t="s">
        <v>188</v>
      </c>
      <c r="B102" s="264">
        <v>64</v>
      </c>
      <c r="C102" s="250" t="s">
        <v>191</v>
      </c>
      <c r="D102" s="264" t="s">
        <v>364</v>
      </c>
      <c r="E102" s="264"/>
      <c r="F102" s="264"/>
      <c r="G102" s="263">
        <v>12</v>
      </c>
      <c r="H102" s="252">
        <v>338.93</v>
      </c>
      <c r="I102" s="263"/>
      <c r="K102" s="266">
        <f t="shared" si="51"/>
        <v>12</v>
      </c>
      <c r="L102" s="267">
        <f t="shared" si="51"/>
        <v>338.93</v>
      </c>
      <c r="N102" s="263">
        <v>0</v>
      </c>
      <c r="O102" s="252">
        <v>0</v>
      </c>
      <c r="P102" s="263">
        <v>0</v>
      </c>
      <c r="Q102" s="252">
        <v>0</v>
      </c>
      <c r="R102" s="266">
        <f t="shared" si="52"/>
        <v>0</v>
      </c>
      <c r="S102" s="267">
        <f t="shared" si="52"/>
        <v>0</v>
      </c>
      <c r="U102" s="263">
        <v>0</v>
      </c>
      <c r="V102" s="252">
        <v>0</v>
      </c>
      <c r="W102" s="263">
        <v>0</v>
      </c>
      <c r="X102" s="252">
        <v>0</v>
      </c>
      <c r="Y102" s="266">
        <f t="shared" si="53"/>
        <v>0</v>
      </c>
      <c r="Z102" s="267">
        <f t="shared" si="53"/>
        <v>0</v>
      </c>
      <c r="AB102" s="263">
        <f t="shared" si="54"/>
        <v>12</v>
      </c>
      <c r="AC102" s="252">
        <f t="shared" si="54"/>
        <v>338.93</v>
      </c>
      <c r="AD102" s="263">
        <f t="shared" si="54"/>
        <v>0</v>
      </c>
      <c r="AE102" s="252">
        <f t="shared" si="54"/>
        <v>0</v>
      </c>
      <c r="AF102" s="266">
        <f t="shared" si="54"/>
        <v>12</v>
      </c>
      <c r="AG102" s="267">
        <f t="shared" si="55"/>
        <v>338.93</v>
      </c>
    </row>
    <row r="103" spans="1:41" ht="17.45" customHeight="1" x14ac:dyDescent="0.4">
      <c r="A103" s="264" t="s">
        <v>207</v>
      </c>
      <c r="B103" s="264">
        <v>28</v>
      </c>
      <c r="C103" s="250" t="s">
        <v>210</v>
      </c>
      <c r="D103" s="264" t="s">
        <v>185</v>
      </c>
      <c r="E103" s="264">
        <v>7403.26</v>
      </c>
      <c r="F103" s="264" t="s">
        <v>186</v>
      </c>
      <c r="G103" s="263">
        <v>26.524799999999999</v>
      </c>
      <c r="H103" s="265">
        <f>IF($F103="H",ROUND($E103*G103,2),IF($F103="S",ROUND(($E103/80)*G103,2),1))</f>
        <v>2454.62</v>
      </c>
      <c r="I103" s="263">
        <v>0</v>
      </c>
      <c r="J103" s="265">
        <f>IF($F103="H",ROUND(($E103*1.5)*I103,2),IF($F103="S",ROUND(($E103/80)*I103,2),1))</f>
        <v>0</v>
      </c>
      <c r="K103" s="266">
        <f>+G103+I103</f>
        <v>26.524799999999999</v>
      </c>
      <c r="L103" s="267">
        <f>+H103+J103</f>
        <v>2454.62</v>
      </c>
      <c r="N103" s="263">
        <v>66.891199999999998</v>
      </c>
      <c r="O103" s="265">
        <f>IF($F103="H",ROUND($E103*N103,2),IF($F103="S",ROUND(($E103/80)*N103,2),1))</f>
        <v>6190.16</v>
      </c>
      <c r="P103" s="263">
        <v>0</v>
      </c>
      <c r="Q103" s="265">
        <f>IF($F103="H",ROUND(($E103*1.5)*P103,2),IF($F103="S",ROUND(($E103/80)*P103,2),1))</f>
        <v>0</v>
      </c>
      <c r="R103" s="266">
        <f>+N103+P103</f>
        <v>66.891199999999998</v>
      </c>
      <c r="S103" s="267">
        <f>+O103+Q103</f>
        <v>6190.16</v>
      </c>
      <c r="U103" s="263">
        <v>0</v>
      </c>
      <c r="V103" s="265">
        <f>IF($F103="H",ROUND($E103*U103,2),IF($F103="S",ROUND(($E103/80)*U103,2),1))</f>
        <v>0</v>
      </c>
      <c r="W103" s="263">
        <v>0</v>
      </c>
      <c r="X103" s="265">
        <f>IF($F103="H",ROUND(($E103*1.5)*W103,2),IF($F103="S",ROUND(($E103/80)*W103,2),1))</f>
        <v>0</v>
      </c>
      <c r="Y103" s="266">
        <f>+U103+W103</f>
        <v>0</v>
      </c>
      <c r="Z103" s="267">
        <f>+V103+X103</f>
        <v>0</v>
      </c>
      <c r="AB103" s="263">
        <f>+G103+N103+U103</f>
        <v>93.415999999999997</v>
      </c>
      <c r="AC103" s="252">
        <f>+H103+O103+V103</f>
        <v>8644.7799999999988</v>
      </c>
      <c r="AD103" s="263">
        <f>+I103+P103+W103</f>
        <v>0</v>
      </c>
      <c r="AE103" s="252">
        <f>+J103+Q103+X103</f>
        <v>0</v>
      </c>
      <c r="AF103" s="266">
        <f>+K103+R103+Y103</f>
        <v>93.415999999999997</v>
      </c>
      <c r="AG103" s="267">
        <f t="shared" si="55"/>
        <v>8644.7799999999988</v>
      </c>
    </row>
    <row r="108" spans="1:41" s="237" customFormat="1" ht="17.45" customHeight="1" x14ac:dyDescent="0.4">
      <c r="A108" s="85" t="s">
        <v>211</v>
      </c>
      <c r="B108" s="85">
        <v>217</v>
      </c>
      <c r="C108" s="236" t="s">
        <v>212</v>
      </c>
      <c r="D108" s="239" t="s">
        <v>185</v>
      </c>
      <c r="E108" s="239">
        <v>17.690000000000001</v>
      </c>
      <c r="F108" s="239" t="s">
        <v>98</v>
      </c>
      <c r="G108" s="241">
        <v>4.72</v>
      </c>
      <c r="H108" s="240">
        <f t="shared" ref="H108:H110" si="56">IF($F108="H",ROUND($E108*G108,2),IF($F108="S",ROUND(($E108/80)*G108,2),1))</f>
        <v>83.5</v>
      </c>
      <c r="I108" s="241">
        <v>0.59</v>
      </c>
      <c r="J108" s="240">
        <f t="shared" ref="J108:J110" si="57">IF($F108="H",ROUND(($E108*1.5)*I108,2),IF($F108="S",ROUND(($E108/80)*I108,2),1))</f>
        <v>15.66</v>
      </c>
      <c r="K108" s="241">
        <f t="shared" ref="K108:L110" si="58">+G108+I108</f>
        <v>5.31</v>
      </c>
      <c r="L108" s="240">
        <f t="shared" si="58"/>
        <v>99.16</v>
      </c>
      <c r="M108" s="240"/>
      <c r="N108" s="241">
        <v>3.28</v>
      </c>
      <c r="O108" s="240">
        <f t="shared" ref="O108:O110" si="59">IF($F108="H",ROUND($E108*N108,2),IF($F108="S",ROUND(($E108/80)*N108,2),1))</f>
        <v>58.02</v>
      </c>
      <c r="P108" s="241">
        <v>0.41</v>
      </c>
      <c r="Q108" s="240">
        <f t="shared" ref="Q108:Q110" si="60">IF($F108="H",ROUND(($E108*1.5)*P108,2),IF($F108="S",ROUND(($E108/80)*P108,2),1))</f>
        <v>10.88</v>
      </c>
      <c r="R108" s="241">
        <f t="shared" ref="R108:S110" si="61">+N108+P108</f>
        <v>3.69</v>
      </c>
      <c r="S108" s="240">
        <f t="shared" si="61"/>
        <v>68.900000000000006</v>
      </c>
      <c r="U108" s="241">
        <v>0</v>
      </c>
      <c r="V108" s="240">
        <f t="shared" ref="V108:V110" si="62">IF($F108="H",ROUND($E108*U108,2),IF($F108="S",ROUND(($E108/80)*U108,2),1))</f>
        <v>0</v>
      </c>
      <c r="W108" s="241">
        <v>0</v>
      </c>
      <c r="X108" s="240">
        <f t="shared" ref="X108:X110" si="63">IF($F108="H",ROUND(($E108*1.5)*W108,2),IF($F108="S",ROUND(($E108/80)*W108,2),1))</f>
        <v>0</v>
      </c>
      <c r="Y108" s="241">
        <f t="shared" ref="Y108:Z110" si="64">+U108+W108</f>
        <v>0</v>
      </c>
      <c r="Z108" s="240">
        <f t="shared" si="64"/>
        <v>0</v>
      </c>
      <c r="AB108" s="241">
        <f t="shared" ref="AB108:AF110" si="65">+G108+N108+U108</f>
        <v>8</v>
      </c>
      <c r="AC108" s="240">
        <f t="shared" si="65"/>
        <v>141.52000000000001</v>
      </c>
      <c r="AD108" s="241">
        <f t="shared" si="65"/>
        <v>1</v>
      </c>
      <c r="AE108" s="240">
        <f t="shared" si="65"/>
        <v>26.54</v>
      </c>
      <c r="AF108" s="241">
        <f t="shared" si="65"/>
        <v>9</v>
      </c>
      <c r="AG108" s="240">
        <f>+L108+S108+Z108+AQ108</f>
        <v>168.06</v>
      </c>
      <c r="AI108" s="306"/>
      <c r="AJ108" s="306"/>
      <c r="AK108" s="306"/>
      <c r="AL108" s="306"/>
      <c r="AM108" s="306"/>
      <c r="AN108" s="306"/>
      <c r="AO108" s="306"/>
    </row>
    <row r="109" spans="1:41" s="237" customFormat="1" ht="17.45" customHeight="1" x14ac:dyDescent="0.4">
      <c r="A109" s="85" t="s">
        <v>207</v>
      </c>
      <c r="B109" s="85">
        <v>41</v>
      </c>
      <c r="C109" s="236" t="s">
        <v>220</v>
      </c>
      <c r="D109" s="239" t="s">
        <v>185</v>
      </c>
      <c r="E109" s="239">
        <v>31.05</v>
      </c>
      <c r="F109" s="239" t="s">
        <v>98</v>
      </c>
      <c r="G109" s="241">
        <v>35.464479999999995</v>
      </c>
      <c r="H109" s="240">
        <f t="shared" si="56"/>
        <v>1101.17</v>
      </c>
      <c r="I109" s="241">
        <v>11.48044</v>
      </c>
      <c r="J109" s="240">
        <f t="shared" si="57"/>
        <v>534.70000000000005</v>
      </c>
      <c r="K109" s="241">
        <f t="shared" si="58"/>
        <v>46.944919999999996</v>
      </c>
      <c r="L109" s="240">
        <f t="shared" si="58"/>
        <v>1635.8700000000001</v>
      </c>
      <c r="M109" s="240"/>
      <c r="N109" s="241">
        <v>22.907519999999995</v>
      </c>
      <c r="O109" s="240">
        <f t="shared" si="59"/>
        <v>711.28</v>
      </c>
      <c r="P109" s="241">
        <v>6.9355599999999997</v>
      </c>
      <c r="Q109" s="240">
        <f t="shared" si="60"/>
        <v>323.02</v>
      </c>
      <c r="R109" s="241">
        <f t="shared" si="61"/>
        <v>29.843079999999993</v>
      </c>
      <c r="S109" s="240">
        <f t="shared" si="61"/>
        <v>1034.3</v>
      </c>
      <c r="U109" s="241">
        <v>0</v>
      </c>
      <c r="V109" s="240">
        <f t="shared" si="62"/>
        <v>0</v>
      </c>
      <c r="W109" s="241">
        <v>0</v>
      </c>
      <c r="X109" s="240">
        <f t="shared" si="63"/>
        <v>0</v>
      </c>
      <c r="Y109" s="241">
        <f t="shared" si="64"/>
        <v>0</v>
      </c>
      <c r="Z109" s="240">
        <f t="shared" si="64"/>
        <v>0</v>
      </c>
      <c r="AB109" s="241">
        <f t="shared" si="65"/>
        <v>58.371999999999986</v>
      </c>
      <c r="AC109" s="240">
        <f t="shared" si="65"/>
        <v>1812.45</v>
      </c>
      <c r="AD109" s="241">
        <f t="shared" si="65"/>
        <v>18.416</v>
      </c>
      <c r="AE109" s="240">
        <f t="shared" si="65"/>
        <v>857.72</v>
      </c>
      <c r="AF109" s="241">
        <f t="shared" si="65"/>
        <v>76.787999999999982</v>
      </c>
      <c r="AG109" s="240">
        <f>+L109+S109+Z109+AQ109</f>
        <v>2670.17</v>
      </c>
      <c r="AI109" s="306"/>
      <c r="AJ109" s="306"/>
      <c r="AK109" s="306"/>
      <c r="AL109" s="306"/>
      <c r="AM109" s="306"/>
      <c r="AN109" s="306"/>
      <c r="AO109" s="306"/>
    </row>
    <row r="110" spans="1:41" s="237" customFormat="1" ht="17.45" customHeight="1" x14ac:dyDescent="0.4">
      <c r="A110" s="85" t="s">
        <v>219</v>
      </c>
      <c r="B110" s="85">
        <v>153</v>
      </c>
      <c r="C110" s="236" t="s">
        <v>383</v>
      </c>
      <c r="D110" s="239" t="s">
        <v>185</v>
      </c>
      <c r="E110" s="239">
        <v>23.74</v>
      </c>
      <c r="F110" s="239" t="s">
        <v>98</v>
      </c>
      <c r="G110" s="241">
        <v>1049.3999999999999</v>
      </c>
      <c r="H110" s="240">
        <f t="shared" si="56"/>
        <v>24912.76</v>
      </c>
      <c r="I110" s="241">
        <v>68.734999999999999</v>
      </c>
      <c r="J110" s="240">
        <f t="shared" si="57"/>
        <v>2447.65</v>
      </c>
      <c r="K110" s="241">
        <f t="shared" si="58"/>
        <v>1118.1349999999998</v>
      </c>
      <c r="L110" s="240">
        <f t="shared" si="58"/>
        <v>27360.41</v>
      </c>
      <c r="M110" s="240"/>
      <c r="N110" s="241">
        <v>721.59999999999991</v>
      </c>
      <c r="O110" s="240">
        <f t="shared" si="59"/>
        <v>17130.78</v>
      </c>
      <c r="P110" s="241">
        <v>47.765000000000001</v>
      </c>
      <c r="Q110" s="240">
        <f t="shared" si="60"/>
        <v>1700.91</v>
      </c>
      <c r="R110" s="241">
        <f t="shared" si="61"/>
        <v>769.3649999999999</v>
      </c>
      <c r="S110" s="240">
        <f t="shared" si="61"/>
        <v>18831.689999999999</v>
      </c>
      <c r="U110" s="241">
        <v>0</v>
      </c>
      <c r="V110" s="240">
        <f t="shared" si="62"/>
        <v>0</v>
      </c>
      <c r="W110" s="241">
        <v>0</v>
      </c>
      <c r="X110" s="240">
        <f t="shared" si="63"/>
        <v>0</v>
      </c>
      <c r="Y110" s="241">
        <f t="shared" si="64"/>
        <v>0</v>
      </c>
      <c r="Z110" s="240">
        <f t="shared" si="64"/>
        <v>0</v>
      </c>
      <c r="AB110" s="241">
        <f t="shared" si="65"/>
        <v>1770.9999999999998</v>
      </c>
      <c r="AC110" s="240">
        <f t="shared" si="65"/>
        <v>42043.539999999994</v>
      </c>
      <c r="AD110" s="241">
        <f t="shared" si="65"/>
        <v>116.5</v>
      </c>
      <c r="AE110" s="240">
        <f t="shared" si="65"/>
        <v>4148.5600000000004</v>
      </c>
      <c r="AF110" s="241">
        <f t="shared" si="65"/>
        <v>1887.4999999999995</v>
      </c>
      <c r="AG110" s="240">
        <f>+L110+S110+Z110+AQ110</f>
        <v>46192.1</v>
      </c>
      <c r="AI110" s="306"/>
      <c r="AJ110" s="306"/>
      <c r="AK110" s="306"/>
      <c r="AL110" s="306"/>
      <c r="AM110" s="306"/>
      <c r="AN110" s="306"/>
      <c r="AO110" s="306"/>
    </row>
    <row r="111" spans="1:41" s="237" customFormat="1" ht="12.75" x14ac:dyDescent="0.35">
      <c r="A111" s="236"/>
      <c r="B111" s="236"/>
      <c r="C111" s="236"/>
      <c r="G111" s="238"/>
      <c r="H111" s="238"/>
      <c r="I111" s="238"/>
      <c r="J111" s="238"/>
      <c r="K111" s="238"/>
      <c r="L111" s="238">
        <f>SUM(L108:L110)</f>
        <v>29095.439999999999</v>
      </c>
      <c r="M111" s="238"/>
      <c r="N111" s="238"/>
      <c r="O111" s="238"/>
      <c r="P111" s="238"/>
      <c r="Q111" s="238"/>
      <c r="AI111" s="306"/>
      <c r="AJ111" s="306"/>
      <c r="AK111" s="306"/>
      <c r="AL111" s="306"/>
      <c r="AM111" s="306"/>
      <c r="AN111" s="306"/>
      <c r="AO111" s="306"/>
    </row>
    <row r="112" spans="1:41" s="237" customFormat="1" ht="12.75" x14ac:dyDescent="0.35">
      <c r="A112" s="236"/>
      <c r="B112" s="236"/>
      <c r="C112" s="236"/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238"/>
      <c r="AI112" s="306"/>
      <c r="AJ112" s="306"/>
      <c r="AK112" s="306"/>
      <c r="AL112" s="306"/>
      <c r="AM112" s="306"/>
      <c r="AN112" s="306"/>
      <c r="AO112" s="306"/>
    </row>
    <row r="113" spans="1:41" s="237" customFormat="1" ht="17.45" customHeight="1" x14ac:dyDescent="0.4">
      <c r="A113" s="85" t="s">
        <v>211</v>
      </c>
      <c r="B113" s="85">
        <v>217</v>
      </c>
      <c r="C113" s="236" t="s">
        <v>212</v>
      </c>
      <c r="D113" s="239" t="s">
        <v>185</v>
      </c>
      <c r="E113" s="239">
        <v>17.690000000000001</v>
      </c>
      <c r="F113" s="239" t="s">
        <v>98</v>
      </c>
      <c r="G113" s="241">
        <f>G108+N108</f>
        <v>8</v>
      </c>
      <c r="H113" s="240">
        <f t="shared" ref="H113:H115" si="66">IF($F113="H",ROUND($E113*G113,2),IF($F113="S",ROUND(($E113/80)*G113,2),1))</f>
        <v>141.52000000000001</v>
      </c>
      <c r="I113" s="241">
        <f>I108+P108</f>
        <v>1</v>
      </c>
      <c r="J113" s="240">
        <f t="shared" ref="J113:J115" si="67">IF($F113="H",ROUND(($E113*1.5)*I113,2),IF($F113="S",ROUND(($E113/80)*I113,2),1))</f>
        <v>26.54</v>
      </c>
      <c r="K113" s="241">
        <f t="shared" ref="K113:L115" si="68">+G113+I113</f>
        <v>9</v>
      </c>
      <c r="L113" s="240">
        <f t="shared" si="68"/>
        <v>168.06</v>
      </c>
      <c r="M113" s="240"/>
      <c r="N113" s="241">
        <v>0</v>
      </c>
      <c r="O113" s="240">
        <f t="shared" ref="O113:O115" si="69">IF($F113="H",ROUND($E113*N113,2),IF($F113="S",ROUND(($E113/80)*N113,2),1))</f>
        <v>0</v>
      </c>
      <c r="P113" s="241">
        <v>0</v>
      </c>
      <c r="Q113" s="240">
        <f t="shared" ref="Q113:Q114" si="70">IF($F113="H",ROUND(($E113*1.5)*P113,2),IF($F113="S",ROUND(($E113/80)*P113,2),1))</f>
        <v>0</v>
      </c>
      <c r="R113" s="241">
        <f t="shared" ref="R113:S115" si="71">+N113+P113</f>
        <v>0</v>
      </c>
      <c r="S113" s="240">
        <f t="shared" si="71"/>
        <v>0</v>
      </c>
      <c r="U113" s="241">
        <v>0</v>
      </c>
      <c r="V113" s="240">
        <f t="shared" ref="V113:V115" si="72">IF($F113="H",ROUND($E113*U113,2),IF($F113="S",ROUND(($E113/80)*U113,2),1))</f>
        <v>0</v>
      </c>
      <c r="W113" s="241">
        <v>0</v>
      </c>
      <c r="X113" s="240">
        <f t="shared" ref="X113:X115" si="73">IF($F113="H",ROUND(($E113*1.5)*W113,2),IF($F113="S",ROUND(($E113/80)*W113,2),1))</f>
        <v>0</v>
      </c>
      <c r="Y113" s="241">
        <f t="shared" ref="Y113:Z115" si="74">+U113+W113</f>
        <v>0</v>
      </c>
      <c r="Z113" s="240">
        <f t="shared" si="74"/>
        <v>0</v>
      </c>
      <c r="AB113" s="241">
        <f t="shared" ref="AB113:AF115" si="75">+G113+N113+U113</f>
        <v>8</v>
      </c>
      <c r="AC113" s="240">
        <f t="shared" si="75"/>
        <v>141.52000000000001</v>
      </c>
      <c r="AD113" s="241">
        <f t="shared" si="75"/>
        <v>1</v>
      </c>
      <c r="AE113" s="240">
        <f t="shared" si="75"/>
        <v>26.54</v>
      </c>
      <c r="AF113" s="241">
        <f t="shared" si="75"/>
        <v>9</v>
      </c>
      <c r="AG113" s="240">
        <f>+L113+S113+Z113+AQ113</f>
        <v>168.06</v>
      </c>
      <c r="AI113" s="306"/>
      <c r="AJ113" s="306"/>
      <c r="AK113" s="306"/>
      <c r="AL113" s="306"/>
      <c r="AM113" s="306"/>
      <c r="AN113" s="306"/>
      <c r="AO113" s="306"/>
    </row>
    <row r="114" spans="1:41" s="237" customFormat="1" ht="17.45" customHeight="1" x14ac:dyDescent="0.4">
      <c r="A114" s="85" t="s">
        <v>207</v>
      </c>
      <c r="B114" s="85">
        <v>41</v>
      </c>
      <c r="C114" s="236" t="s">
        <v>220</v>
      </c>
      <c r="D114" s="239" t="s">
        <v>185</v>
      </c>
      <c r="E114" s="239">
        <v>31.05</v>
      </c>
      <c r="F114" s="239" t="s">
        <v>98</v>
      </c>
      <c r="G114" s="241">
        <f t="shared" ref="G114:I115" si="76">G109+N109</f>
        <v>58.371999999999986</v>
      </c>
      <c r="H114" s="240">
        <f t="shared" si="66"/>
        <v>1812.45</v>
      </c>
      <c r="I114" s="241">
        <f t="shared" si="76"/>
        <v>18.416</v>
      </c>
      <c r="J114" s="240">
        <f t="shared" si="67"/>
        <v>857.73</v>
      </c>
      <c r="K114" s="241">
        <f t="shared" si="68"/>
        <v>76.787999999999982</v>
      </c>
      <c r="L114" s="240">
        <f t="shared" si="68"/>
        <v>2670.1800000000003</v>
      </c>
      <c r="M114" s="240"/>
      <c r="N114" s="241">
        <v>0</v>
      </c>
      <c r="O114" s="240">
        <f t="shared" si="69"/>
        <v>0</v>
      </c>
      <c r="P114" s="241">
        <v>0</v>
      </c>
      <c r="Q114" s="240">
        <f t="shared" si="70"/>
        <v>0</v>
      </c>
      <c r="R114" s="241">
        <f t="shared" si="71"/>
        <v>0</v>
      </c>
      <c r="S114" s="240">
        <f t="shared" si="71"/>
        <v>0</v>
      </c>
      <c r="U114" s="241">
        <v>0</v>
      </c>
      <c r="V114" s="240">
        <f t="shared" si="72"/>
        <v>0</v>
      </c>
      <c r="W114" s="241">
        <v>0</v>
      </c>
      <c r="X114" s="240">
        <f t="shared" si="73"/>
        <v>0</v>
      </c>
      <c r="Y114" s="241">
        <f t="shared" si="74"/>
        <v>0</v>
      </c>
      <c r="Z114" s="240">
        <f t="shared" si="74"/>
        <v>0</v>
      </c>
      <c r="AB114" s="241">
        <f t="shared" si="75"/>
        <v>58.371999999999986</v>
      </c>
      <c r="AC114" s="240">
        <f t="shared" si="75"/>
        <v>1812.45</v>
      </c>
      <c r="AD114" s="241">
        <f t="shared" si="75"/>
        <v>18.416</v>
      </c>
      <c r="AE114" s="240">
        <f t="shared" si="75"/>
        <v>857.73</v>
      </c>
      <c r="AF114" s="241">
        <f t="shared" si="75"/>
        <v>76.787999999999982</v>
      </c>
      <c r="AG114" s="240">
        <f>+L114+S114+Z114+AQ114</f>
        <v>2670.1800000000003</v>
      </c>
      <c r="AI114" s="306"/>
      <c r="AJ114" s="306"/>
      <c r="AK114" s="306"/>
      <c r="AL114" s="306"/>
      <c r="AM114" s="306"/>
      <c r="AN114" s="306"/>
      <c r="AO114" s="306"/>
    </row>
    <row r="115" spans="1:41" s="237" customFormat="1" ht="17.45" customHeight="1" x14ac:dyDescent="0.4">
      <c r="A115" s="85" t="s">
        <v>219</v>
      </c>
      <c r="B115" s="85">
        <v>153</v>
      </c>
      <c r="C115" s="236" t="s">
        <v>383</v>
      </c>
      <c r="D115" s="239" t="s">
        <v>185</v>
      </c>
      <c r="E115" s="239">
        <v>23.74</v>
      </c>
      <c r="F115" s="239" t="s">
        <v>98</v>
      </c>
      <c r="G115" s="241">
        <f t="shared" si="76"/>
        <v>1770.9999999999998</v>
      </c>
      <c r="H115" s="240">
        <f t="shared" si="66"/>
        <v>42043.54</v>
      </c>
      <c r="I115" s="241">
        <f t="shared" si="76"/>
        <v>116.5</v>
      </c>
      <c r="J115" s="240">
        <f t="shared" si="67"/>
        <v>4148.57</v>
      </c>
      <c r="K115" s="241">
        <f t="shared" si="68"/>
        <v>1887.4999999999998</v>
      </c>
      <c r="L115" s="240">
        <f t="shared" si="68"/>
        <v>46192.11</v>
      </c>
      <c r="M115" s="240"/>
      <c r="N115" s="241">
        <v>0</v>
      </c>
      <c r="O115" s="240">
        <f t="shared" si="69"/>
        <v>0</v>
      </c>
      <c r="P115" s="241">
        <v>0</v>
      </c>
      <c r="Q115" s="240">
        <v>0</v>
      </c>
      <c r="R115" s="241">
        <f t="shared" si="71"/>
        <v>0</v>
      </c>
      <c r="S115" s="240">
        <f t="shared" si="71"/>
        <v>0</v>
      </c>
      <c r="U115" s="241">
        <v>0</v>
      </c>
      <c r="V115" s="240">
        <f t="shared" si="72"/>
        <v>0</v>
      </c>
      <c r="W115" s="241">
        <v>0</v>
      </c>
      <c r="X115" s="240">
        <f t="shared" si="73"/>
        <v>0</v>
      </c>
      <c r="Y115" s="241">
        <f t="shared" si="74"/>
        <v>0</v>
      </c>
      <c r="Z115" s="240">
        <f t="shared" si="74"/>
        <v>0</v>
      </c>
      <c r="AB115" s="241">
        <f t="shared" si="75"/>
        <v>1770.9999999999998</v>
      </c>
      <c r="AC115" s="240">
        <f t="shared" si="75"/>
        <v>42043.54</v>
      </c>
      <c r="AD115" s="241">
        <f t="shared" si="75"/>
        <v>116.5</v>
      </c>
      <c r="AE115" s="240">
        <f t="shared" si="75"/>
        <v>4148.57</v>
      </c>
      <c r="AF115" s="241">
        <f t="shared" si="75"/>
        <v>1887.4999999999998</v>
      </c>
      <c r="AG115" s="240">
        <f>+L115+S115+Z115+AQ115</f>
        <v>46192.11</v>
      </c>
      <c r="AI115" s="306"/>
      <c r="AJ115" s="306"/>
      <c r="AK115" s="306"/>
      <c r="AL115" s="306"/>
      <c r="AM115" s="306"/>
      <c r="AN115" s="306"/>
      <c r="AO115" s="306"/>
    </row>
    <row r="116" spans="1:41" s="237" customFormat="1" ht="12.75" x14ac:dyDescent="0.35">
      <c r="A116" s="236"/>
      <c r="B116" s="236"/>
      <c r="C116" s="236"/>
      <c r="G116" s="238"/>
      <c r="H116" s="238"/>
      <c r="I116" s="238"/>
      <c r="J116" s="238"/>
      <c r="K116" s="238"/>
      <c r="L116" s="238">
        <f>SUM(L113:L115)</f>
        <v>49030.35</v>
      </c>
      <c r="M116" s="238"/>
      <c r="N116" s="238"/>
      <c r="O116" s="238"/>
      <c r="P116" s="238"/>
      <c r="Q116" s="238"/>
      <c r="AI116" s="306"/>
      <c r="AJ116" s="306"/>
      <c r="AK116" s="306"/>
      <c r="AL116" s="306"/>
      <c r="AM116" s="306"/>
      <c r="AN116" s="306"/>
      <c r="AO116" s="306"/>
    </row>
    <row r="117" spans="1:41" s="237" customFormat="1" ht="12.75" x14ac:dyDescent="0.35">
      <c r="A117" s="236"/>
      <c r="B117" s="236"/>
      <c r="C117" s="236"/>
      <c r="G117" s="238"/>
      <c r="H117" s="238"/>
      <c r="I117" s="238"/>
      <c r="J117" s="238"/>
      <c r="K117" s="238"/>
      <c r="L117" s="238">
        <f>L116-L111</f>
        <v>19934.91</v>
      </c>
      <c r="M117" s="238"/>
      <c r="N117" s="238"/>
      <c r="O117" s="238"/>
      <c r="P117" s="238"/>
      <c r="Q117" s="238"/>
      <c r="AI117" s="306"/>
      <c r="AJ117" s="306"/>
      <c r="AK117" s="306"/>
      <c r="AL117" s="306"/>
      <c r="AM117" s="306"/>
      <c r="AN117" s="306"/>
      <c r="AO117" s="306"/>
    </row>
  </sheetData>
  <mergeCells count="5">
    <mergeCell ref="G5:L5"/>
    <mergeCell ref="N5:S5"/>
    <mergeCell ref="U5:Z5"/>
    <mergeCell ref="AB5:AG5"/>
    <mergeCell ref="AL5:AN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A32EC-CAAE-4203-8C43-B89F32DDF202}">
  <dimension ref="A3:Y33"/>
  <sheetViews>
    <sheetView workbookViewId="0">
      <selection sqref="A1:XFD1048576"/>
    </sheetView>
  </sheetViews>
  <sheetFormatPr defaultRowHeight="15" x14ac:dyDescent="0.4"/>
  <cols>
    <col min="3" max="3" width="4.77734375" style="40" customWidth="1"/>
    <col min="4" max="5" width="10.77734375" style="40" customWidth="1"/>
    <col min="6" max="6" width="1.77734375" style="214" customWidth="1"/>
    <col min="7" max="7" width="10.77734375" style="40" customWidth="1"/>
    <col min="8" max="8" width="1.21875" style="40" customWidth="1"/>
    <col min="9" max="9" width="10.77734375" style="214" customWidth="1"/>
    <col min="10" max="10" width="10.77734375" style="40" customWidth="1"/>
    <col min="11" max="11" width="11.44140625" style="68" bestFit="1" customWidth="1"/>
    <col min="12" max="14" width="10.44140625" style="68" bestFit="1" customWidth="1"/>
    <col min="15" max="16" width="11.44140625" style="68" bestFit="1" customWidth="1"/>
    <col min="19" max="19" width="11.44140625" style="68" bestFit="1" customWidth="1"/>
    <col min="20" max="22" width="10.44140625" style="68" bestFit="1" customWidth="1"/>
    <col min="23" max="24" width="11.44140625" style="68" bestFit="1" customWidth="1"/>
  </cols>
  <sheetData>
    <row r="3" spans="1:25" x14ac:dyDescent="0.4">
      <c r="C3"/>
      <c r="D3"/>
      <c r="E3"/>
      <c r="F3"/>
      <c r="G3"/>
      <c r="H3"/>
      <c r="I3"/>
      <c r="J3"/>
    </row>
    <row r="4" spans="1:25" x14ac:dyDescent="0.4">
      <c r="C4"/>
      <c r="D4"/>
      <c r="E4"/>
      <c r="F4"/>
      <c r="G4"/>
      <c r="H4"/>
      <c r="I4"/>
      <c r="J4"/>
    </row>
    <row r="5" spans="1:25" x14ac:dyDescent="0.4">
      <c r="C5"/>
      <c r="D5"/>
      <c r="E5"/>
      <c r="F5"/>
      <c r="G5"/>
      <c r="H5"/>
      <c r="I5"/>
      <c r="J5"/>
    </row>
    <row r="7" spans="1:25" x14ac:dyDescent="0.4">
      <c r="C7" s="339"/>
      <c r="I7" s="340"/>
      <c r="K7" s="522" t="s">
        <v>456</v>
      </c>
      <c r="L7" s="522"/>
      <c r="M7" s="522"/>
      <c r="N7" s="522"/>
      <c r="O7" s="522"/>
      <c r="P7" s="522"/>
      <c r="Q7" s="522"/>
      <c r="S7" s="522" t="s">
        <v>456</v>
      </c>
      <c r="T7" s="522"/>
      <c r="U7" s="522"/>
      <c r="V7" s="522"/>
      <c r="W7" s="522"/>
      <c r="X7" s="522"/>
      <c r="Y7" s="522"/>
    </row>
    <row r="8" spans="1:25" ht="15.75" x14ac:dyDescent="0.5">
      <c r="A8" s="40" t="s">
        <v>230</v>
      </c>
      <c r="B8" s="60"/>
      <c r="D8" s="219"/>
      <c r="E8" s="220"/>
      <c r="F8" s="13"/>
      <c r="H8" s="60"/>
      <c r="I8" s="40"/>
      <c r="J8" s="219"/>
      <c r="L8" s="60">
        <v>5000</v>
      </c>
      <c r="M8" s="60">
        <v>5000</v>
      </c>
      <c r="N8" s="60">
        <v>190000</v>
      </c>
      <c r="O8" s="60">
        <v>400000</v>
      </c>
      <c r="P8" s="60">
        <f>SUM(L8:O8)</f>
        <v>600000</v>
      </c>
      <c r="T8" s="60">
        <v>5000</v>
      </c>
      <c r="U8" s="60">
        <v>5000</v>
      </c>
      <c r="V8" s="60">
        <v>190000</v>
      </c>
      <c r="W8" s="60">
        <v>400000</v>
      </c>
      <c r="X8" s="60">
        <f>SUM(T8:W8)</f>
        <v>600000</v>
      </c>
    </row>
    <row r="9" spans="1:25" ht="15.75" x14ac:dyDescent="0.5">
      <c r="A9" s="40" t="s">
        <v>48</v>
      </c>
      <c r="B9" s="60">
        <v>5000</v>
      </c>
      <c r="C9" s="40" t="s">
        <v>125</v>
      </c>
      <c r="D9" s="221">
        <f>'Table C'!F25</f>
        <v>38.29</v>
      </c>
      <c r="E9" s="220" t="s">
        <v>145</v>
      </c>
      <c r="F9" s="13"/>
      <c r="G9" s="221">
        <f>'Table C'!L25</f>
        <v>40.51</v>
      </c>
      <c r="H9" s="220" t="s">
        <v>145</v>
      </c>
      <c r="I9" s="40"/>
      <c r="L9" s="221">
        <f>D9</f>
        <v>38.29</v>
      </c>
      <c r="M9" s="222">
        <f>D10</f>
        <v>6.45E-3</v>
      </c>
      <c r="N9" s="222">
        <f>D11</f>
        <v>5.7800000000000004E-3</v>
      </c>
      <c r="O9" s="222">
        <f>D12</f>
        <v>5.4099999999999999E-3</v>
      </c>
      <c r="P9" s="222">
        <f>D13</f>
        <v>4.0099999999999997E-3</v>
      </c>
      <c r="T9" s="221">
        <f>G9</f>
        <v>40.51</v>
      </c>
      <c r="U9" s="222">
        <f>G10</f>
        <v>6.8199999999999997E-3</v>
      </c>
      <c r="V9" s="222">
        <f>G11</f>
        <v>6.1200000000000004E-3</v>
      </c>
      <c r="W9" s="222">
        <f>G12</f>
        <v>5.7200000000000003E-3</v>
      </c>
      <c r="X9" s="222">
        <f>G13</f>
        <v>4.2399999999999998E-3</v>
      </c>
    </row>
    <row r="10" spans="1:25" ht="15.75" x14ac:dyDescent="0.5">
      <c r="A10" s="40" t="s">
        <v>49</v>
      </c>
      <c r="B10" s="60">
        <v>5000</v>
      </c>
      <c r="C10" s="40" t="s">
        <v>125</v>
      </c>
      <c r="D10" s="222">
        <f>'Table C'!F26</f>
        <v>6.45E-3</v>
      </c>
      <c r="E10" s="220" t="s">
        <v>144</v>
      </c>
      <c r="F10" s="13"/>
      <c r="G10" s="222">
        <f>'Table C'!L26</f>
        <v>6.8199999999999997E-3</v>
      </c>
      <c r="H10" s="220" t="s">
        <v>144</v>
      </c>
      <c r="I10" s="40"/>
      <c r="K10" s="68">
        <v>2000</v>
      </c>
      <c r="L10" s="68">
        <v>2000</v>
      </c>
      <c r="S10" s="68">
        <v>2000</v>
      </c>
      <c r="T10" s="68">
        <f>L10</f>
        <v>2000</v>
      </c>
      <c r="U10" s="68">
        <f t="shared" ref="U10:X19" si="0">M10</f>
        <v>0</v>
      </c>
      <c r="V10" s="68">
        <f t="shared" si="0"/>
        <v>0</v>
      </c>
      <c r="W10" s="68">
        <f t="shared" si="0"/>
        <v>0</v>
      </c>
      <c r="X10" s="68">
        <f t="shared" si="0"/>
        <v>0</v>
      </c>
    </row>
    <row r="11" spans="1:25" ht="15.75" x14ac:dyDescent="0.5">
      <c r="A11" s="40" t="s">
        <v>49</v>
      </c>
      <c r="B11" s="60">
        <v>190000</v>
      </c>
      <c r="C11" s="40" t="s">
        <v>125</v>
      </c>
      <c r="D11" s="222">
        <f>'Table C'!F27</f>
        <v>5.7800000000000004E-3</v>
      </c>
      <c r="E11" s="220" t="s">
        <v>144</v>
      </c>
      <c r="F11" s="13"/>
      <c r="G11" s="222">
        <f>'Table C'!L27</f>
        <v>6.1200000000000004E-3</v>
      </c>
      <c r="H11" s="220" t="s">
        <v>144</v>
      </c>
      <c r="I11" s="40"/>
      <c r="K11" s="68">
        <v>4000</v>
      </c>
      <c r="L11" s="68">
        <f>K11</f>
        <v>4000</v>
      </c>
      <c r="M11" s="60">
        <f>K11-L11</f>
        <v>0</v>
      </c>
      <c r="Q11" s="68">
        <f>SUM(L11:P11)</f>
        <v>4000</v>
      </c>
      <c r="S11" s="68">
        <v>4000</v>
      </c>
      <c r="T11" s="68">
        <f t="shared" ref="T11:T19" si="1">L11</f>
        <v>4000</v>
      </c>
      <c r="U11" s="68">
        <f t="shared" si="0"/>
        <v>0</v>
      </c>
      <c r="V11" s="68">
        <f t="shared" si="0"/>
        <v>0</v>
      </c>
      <c r="W11" s="68">
        <f t="shared" si="0"/>
        <v>0</v>
      </c>
      <c r="X11" s="68">
        <f t="shared" si="0"/>
        <v>0</v>
      </c>
      <c r="Y11" s="68">
        <f>SUM(T11:X11)</f>
        <v>4000</v>
      </c>
    </row>
    <row r="12" spans="1:25" ht="15.75" x14ac:dyDescent="0.5">
      <c r="A12" s="40" t="s">
        <v>49</v>
      </c>
      <c r="B12" s="60">
        <v>400000</v>
      </c>
      <c r="C12" s="40" t="s">
        <v>125</v>
      </c>
      <c r="D12" s="222">
        <f>'Table C'!F28</f>
        <v>5.4099999999999999E-3</v>
      </c>
      <c r="E12" s="220" t="s">
        <v>144</v>
      </c>
      <c r="F12" s="13"/>
      <c r="G12" s="222">
        <f>'Table C'!L28</f>
        <v>5.7200000000000003E-3</v>
      </c>
      <c r="H12" s="220" t="s">
        <v>144</v>
      </c>
      <c r="I12" s="40"/>
      <c r="K12" s="68">
        <v>6000</v>
      </c>
      <c r="L12" s="68">
        <f>L8</f>
        <v>5000</v>
      </c>
      <c r="M12" s="68">
        <f>K12-L12</f>
        <v>1000</v>
      </c>
      <c r="N12" s="68">
        <f>K12-L12-M12</f>
        <v>0</v>
      </c>
      <c r="Q12" s="68">
        <f t="shared" ref="Q12:Q19" si="2">SUM(L12:P12)</f>
        <v>6000</v>
      </c>
      <c r="S12" s="68">
        <v>6000</v>
      </c>
      <c r="T12" s="68">
        <f t="shared" si="1"/>
        <v>5000</v>
      </c>
      <c r="U12" s="68">
        <f t="shared" si="0"/>
        <v>1000</v>
      </c>
      <c r="V12" s="68">
        <f t="shared" si="0"/>
        <v>0</v>
      </c>
      <c r="W12" s="68">
        <f t="shared" si="0"/>
        <v>0</v>
      </c>
      <c r="X12" s="68">
        <f t="shared" si="0"/>
        <v>0</v>
      </c>
      <c r="Y12" s="68">
        <f t="shared" ref="Y12:Y19" si="3">SUM(T12:X12)</f>
        <v>6000</v>
      </c>
    </row>
    <row r="13" spans="1:25" ht="15.75" x14ac:dyDescent="0.5">
      <c r="A13" s="40" t="s">
        <v>76</v>
      </c>
      <c r="B13" s="60">
        <f>SUM(B9:B12)</f>
        <v>600000</v>
      </c>
      <c r="C13" s="40" t="s">
        <v>125</v>
      </c>
      <c r="D13" s="222">
        <f>'Table C'!F29</f>
        <v>4.0099999999999997E-3</v>
      </c>
      <c r="E13" s="220" t="s">
        <v>144</v>
      </c>
      <c r="F13" s="13"/>
      <c r="G13" s="222">
        <f>'Table C'!L29</f>
        <v>4.2399999999999998E-3</v>
      </c>
      <c r="H13" s="220" t="s">
        <v>144</v>
      </c>
      <c r="I13" s="40"/>
      <c r="K13" s="68">
        <v>8000</v>
      </c>
      <c r="L13" s="68">
        <v>5000</v>
      </c>
      <c r="M13" s="68">
        <f>K13-L13</f>
        <v>3000</v>
      </c>
      <c r="N13" s="68">
        <f>K13-L13-M13</f>
        <v>0</v>
      </c>
      <c r="Q13" s="68">
        <f t="shared" si="2"/>
        <v>8000</v>
      </c>
      <c r="S13" s="68">
        <v>8000</v>
      </c>
      <c r="T13" s="68">
        <f t="shared" si="1"/>
        <v>5000</v>
      </c>
      <c r="U13" s="68">
        <f t="shared" si="0"/>
        <v>3000</v>
      </c>
      <c r="V13" s="68">
        <f t="shared" si="0"/>
        <v>0</v>
      </c>
      <c r="W13" s="68">
        <f t="shared" si="0"/>
        <v>0</v>
      </c>
      <c r="X13" s="68">
        <f t="shared" si="0"/>
        <v>0</v>
      </c>
      <c r="Y13" s="68">
        <f t="shared" si="3"/>
        <v>8000</v>
      </c>
    </row>
    <row r="14" spans="1:25" x14ac:dyDescent="0.4">
      <c r="E14" s="342"/>
      <c r="F14" s="40"/>
      <c r="K14" s="68">
        <v>10000</v>
      </c>
      <c r="L14" s="68">
        <v>5000</v>
      </c>
      <c r="M14" s="68">
        <f>K14-L14</f>
        <v>5000</v>
      </c>
      <c r="N14" s="68">
        <f>K14-L14-M14</f>
        <v>0</v>
      </c>
      <c r="Q14" s="68">
        <f t="shared" si="2"/>
        <v>10000</v>
      </c>
      <c r="S14" s="68">
        <v>10000</v>
      </c>
      <c r="T14" s="68">
        <f t="shared" si="1"/>
        <v>5000</v>
      </c>
      <c r="U14" s="68">
        <f t="shared" si="0"/>
        <v>5000</v>
      </c>
      <c r="V14" s="68">
        <f t="shared" si="0"/>
        <v>0</v>
      </c>
      <c r="W14" s="68">
        <f t="shared" si="0"/>
        <v>0</v>
      </c>
      <c r="X14" s="68">
        <f t="shared" si="0"/>
        <v>0</v>
      </c>
      <c r="Y14" s="68">
        <f t="shared" si="3"/>
        <v>10000</v>
      </c>
    </row>
    <row r="15" spans="1:25" x14ac:dyDescent="0.4">
      <c r="E15" s="342"/>
      <c r="F15" s="40"/>
      <c r="K15" s="68">
        <v>12000</v>
      </c>
      <c r="L15" s="68">
        <v>5000</v>
      </c>
      <c r="M15" s="68">
        <v>5000</v>
      </c>
      <c r="N15" s="68">
        <f>K15-L15-M15</f>
        <v>2000</v>
      </c>
      <c r="O15" s="68">
        <f>K15-L15-M15-N15</f>
        <v>0</v>
      </c>
      <c r="Q15" s="68">
        <f t="shared" si="2"/>
        <v>12000</v>
      </c>
      <c r="S15" s="68">
        <v>12000</v>
      </c>
      <c r="T15" s="68">
        <f t="shared" si="1"/>
        <v>5000</v>
      </c>
      <c r="U15" s="68">
        <f t="shared" si="0"/>
        <v>5000</v>
      </c>
      <c r="V15" s="68">
        <f t="shared" si="0"/>
        <v>2000</v>
      </c>
      <c r="W15" s="68">
        <f t="shared" si="0"/>
        <v>0</v>
      </c>
      <c r="X15" s="68">
        <f t="shared" si="0"/>
        <v>0</v>
      </c>
      <c r="Y15" s="68">
        <f t="shared" si="3"/>
        <v>12000</v>
      </c>
    </row>
    <row r="16" spans="1:25" x14ac:dyDescent="0.4">
      <c r="E16" s="342"/>
      <c r="F16" s="40"/>
      <c r="K16" s="68">
        <v>14000</v>
      </c>
      <c r="L16" s="68">
        <v>5000</v>
      </c>
      <c r="M16" s="68">
        <v>5000</v>
      </c>
      <c r="N16" s="68">
        <f t="shared" ref="N16:N19" si="4">K16-L16-M16</f>
        <v>4000</v>
      </c>
      <c r="O16" s="68">
        <f>K16-L16-M16-N16</f>
        <v>0</v>
      </c>
      <c r="Q16" s="68">
        <f t="shared" si="2"/>
        <v>14000</v>
      </c>
      <c r="S16" s="68">
        <v>14000</v>
      </c>
      <c r="T16" s="68">
        <f t="shared" si="1"/>
        <v>5000</v>
      </c>
      <c r="U16" s="68">
        <f t="shared" si="0"/>
        <v>5000</v>
      </c>
      <c r="V16" s="68">
        <f t="shared" si="0"/>
        <v>4000</v>
      </c>
      <c r="W16" s="68">
        <f t="shared" si="0"/>
        <v>0</v>
      </c>
      <c r="X16" s="68">
        <f t="shared" si="0"/>
        <v>0</v>
      </c>
      <c r="Y16" s="68">
        <f t="shared" si="3"/>
        <v>14000</v>
      </c>
    </row>
    <row r="17" spans="5:25" x14ac:dyDescent="0.4">
      <c r="E17" s="342"/>
      <c r="F17" s="40"/>
      <c r="K17" s="68">
        <v>16000</v>
      </c>
      <c r="L17" s="68">
        <v>5000</v>
      </c>
      <c r="M17" s="68">
        <v>5000</v>
      </c>
      <c r="N17" s="68">
        <f t="shared" si="4"/>
        <v>6000</v>
      </c>
      <c r="O17" s="68">
        <f>K17-L17-M17-N17</f>
        <v>0</v>
      </c>
      <c r="Q17" s="68">
        <f t="shared" si="2"/>
        <v>16000</v>
      </c>
      <c r="S17" s="68">
        <v>16000</v>
      </c>
      <c r="T17" s="68">
        <f t="shared" si="1"/>
        <v>5000</v>
      </c>
      <c r="U17" s="68">
        <f t="shared" si="0"/>
        <v>5000</v>
      </c>
      <c r="V17" s="68">
        <f t="shared" si="0"/>
        <v>6000</v>
      </c>
      <c r="W17" s="68">
        <f t="shared" si="0"/>
        <v>0</v>
      </c>
      <c r="X17" s="68">
        <f t="shared" si="0"/>
        <v>0</v>
      </c>
      <c r="Y17" s="68">
        <f t="shared" si="3"/>
        <v>16000</v>
      </c>
    </row>
    <row r="18" spans="5:25" x14ac:dyDescent="0.4">
      <c r="E18" s="342"/>
      <c r="F18" s="40"/>
      <c r="K18" s="68">
        <v>18000</v>
      </c>
      <c r="L18" s="68">
        <v>5000</v>
      </c>
      <c r="M18" s="68">
        <v>5000</v>
      </c>
      <c r="N18" s="68">
        <f t="shared" si="4"/>
        <v>8000</v>
      </c>
      <c r="O18" s="68">
        <f t="shared" ref="O18:O19" si="5">K18-L18-M18-N18</f>
        <v>0</v>
      </c>
      <c r="P18" s="68">
        <f>K18-L18-M18-N18-O18</f>
        <v>0</v>
      </c>
      <c r="Q18" s="68">
        <f t="shared" si="2"/>
        <v>18000</v>
      </c>
      <c r="S18" s="68">
        <v>18000</v>
      </c>
      <c r="T18" s="68">
        <f t="shared" si="1"/>
        <v>5000</v>
      </c>
      <c r="U18" s="68">
        <f t="shared" si="0"/>
        <v>5000</v>
      </c>
      <c r="V18" s="68">
        <f t="shared" si="0"/>
        <v>8000</v>
      </c>
      <c r="W18" s="68">
        <f t="shared" si="0"/>
        <v>0</v>
      </c>
      <c r="X18" s="68">
        <f t="shared" si="0"/>
        <v>0</v>
      </c>
      <c r="Y18" s="68">
        <f t="shared" si="3"/>
        <v>18000</v>
      </c>
    </row>
    <row r="19" spans="5:25" x14ac:dyDescent="0.4">
      <c r="E19" s="342"/>
      <c r="F19" s="40"/>
      <c r="K19" s="68">
        <v>20000</v>
      </c>
      <c r="L19" s="68">
        <v>5000</v>
      </c>
      <c r="M19" s="68">
        <v>5000</v>
      </c>
      <c r="N19" s="68">
        <f t="shared" si="4"/>
        <v>10000</v>
      </c>
      <c r="O19" s="68">
        <f t="shared" si="5"/>
        <v>0</v>
      </c>
      <c r="P19" s="68">
        <f>+K19-L19-M19-N19-O19</f>
        <v>0</v>
      </c>
      <c r="Q19" s="68">
        <f t="shared" si="2"/>
        <v>20000</v>
      </c>
      <c r="S19" s="68">
        <v>20000</v>
      </c>
      <c r="T19" s="68">
        <f t="shared" si="1"/>
        <v>5000</v>
      </c>
      <c r="U19" s="68">
        <f t="shared" si="0"/>
        <v>5000</v>
      </c>
      <c r="V19" s="68">
        <f t="shared" si="0"/>
        <v>10000</v>
      </c>
      <c r="W19" s="68">
        <f t="shared" si="0"/>
        <v>0</v>
      </c>
      <c r="X19" s="68">
        <f t="shared" si="0"/>
        <v>0</v>
      </c>
      <c r="Y19" s="68">
        <f t="shared" si="3"/>
        <v>20000</v>
      </c>
    </row>
    <row r="20" spans="5:25" x14ac:dyDescent="0.4">
      <c r="E20" s="342"/>
      <c r="F20" s="40"/>
    </row>
    <row r="21" spans="5:25" x14ac:dyDescent="0.4">
      <c r="E21" s="342"/>
      <c r="F21" s="40"/>
      <c r="K21" s="68">
        <v>2000</v>
      </c>
      <c r="L21" s="59">
        <f>L9</f>
        <v>38.29</v>
      </c>
      <c r="M21" s="59"/>
      <c r="N21" s="59"/>
      <c r="O21" s="59"/>
      <c r="P21" s="59"/>
      <c r="Q21" s="59">
        <f>SUM(L21:P21)</f>
        <v>38.29</v>
      </c>
      <c r="S21" s="68">
        <v>2000</v>
      </c>
      <c r="T21" s="59">
        <f>T9</f>
        <v>40.51</v>
      </c>
      <c r="U21" s="59"/>
      <c r="V21" s="59"/>
      <c r="W21" s="59"/>
      <c r="X21" s="59"/>
      <c r="Y21" s="59">
        <f>SUM(T21:X21)</f>
        <v>40.51</v>
      </c>
    </row>
    <row r="22" spans="5:25" x14ac:dyDescent="0.4">
      <c r="E22" s="342"/>
      <c r="F22" s="40"/>
      <c r="K22" s="68">
        <v>4000</v>
      </c>
      <c r="L22" s="59">
        <f>L21</f>
        <v>38.29</v>
      </c>
      <c r="M22" s="59">
        <f>M11*M$9</f>
        <v>0</v>
      </c>
      <c r="N22" s="59"/>
      <c r="O22" s="59"/>
      <c r="P22" s="59"/>
      <c r="Q22" s="59">
        <f t="shared" ref="Q22:Q30" si="6">SUM(L22:P22)</f>
        <v>38.29</v>
      </c>
      <c r="S22" s="68">
        <v>4000</v>
      </c>
      <c r="T22" s="59">
        <f>T21</f>
        <v>40.51</v>
      </c>
      <c r="U22" s="59">
        <f>U11*U$9</f>
        <v>0</v>
      </c>
      <c r="V22" s="59"/>
      <c r="W22" s="59"/>
      <c r="X22" s="59"/>
      <c r="Y22" s="59">
        <f t="shared" ref="Y22:Y30" si="7">SUM(T22:X22)</f>
        <v>40.51</v>
      </c>
    </row>
    <row r="23" spans="5:25" x14ac:dyDescent="0.4">
      <c r="E23" s="342"/>
      <c r="F23" s="40"/>
      <c r="K23" s="68">
        <v>6000</v>
      </c>
      <c r="L23" s="59">
        <f t="shared" ref="L23:L30" si="8">L22</f>
        <v>38.29</v>
      </c>
      <c r="M23" s="59">
        <f t="shared" ref="M23:P30" si="9">M12*M$9</f>
        <v>6.45</v>
      </c>
      <c r="N23" s="59">
        <f t="shared" si="9"/>
        <v>0</v>
      </c>
      <c r="O23" s="59"/>
      <c r="P23" s="59"/>
      <c r="Q23" s="59">
        <f t="shared" si="6"/>
        <v>44.74</v>
      </c>
      <c r="S23" s="68">
        <v>6000</v>
      </c>
      <c r="T23" s="59">
        <f t="shared" ref="T23:T30" si="10">T22</f>
        <v>40.51</v>
      </c>
      <c r="U23" s="59">
        <f t="shared" ref="U23:X30" si="11">U12*U$9</f>
        <v>6.8199999999999994</v>
      </c>
      <c r="V23" s="59">
        <f t="shared" si="11"/>
        <v>0</v>
      </c>
      <c r="W23" s="59"/>
      <c r="X23" s="59"/>
      <c r="Y23" s="59">
        <f t="shared" si="7"/>
        <v>47.33</v>
      </c>
    </row>
    <row r="24" spans="5:25" x14ac:dyDescent="0.4">
      <c r="E24" s="342"/>
      <c r="F24" s="40"/>
      <c r="K24" s="68">
        <v>8000</v>
      </c>
      <c r="L24" s="59">
        <f t="shared" si="8"/>
        <v>38.29</v>
      </c>
      <c r="M24" s="59">
        <f t="shared" si="9"/>
        <v>19.350000000000001</v>
      </c>
      <c r="N24" s="59">
        <f t="shared" si="9"/>
        <v>0</v>
      </c>
      <c r="O24" s="59"/>
      <c r="P24" s="59"/>
      <c r="Q24" s="59">
        <f t="shared" si="6"/>
        <v>57.64</v>
      </c>
      <c r="S24" s="68">
        <v>8000</v>
      </c>
      <c r="T24" s="59">
        <f t="shared" si="10"/>
        <v>40.51</v>
      </c>
      <c r="U24" s="59">
        <f t="shared" si="11"/>
        <v>20.459999999999997</v>
      </c>
      <c r="V24" s="59">
        <f t="shared" si="11"/>
        <v>0</v>
      </c>
      <c r="W24" s="59"/>
      <c r="X24" s="59"/>
      <c r="Y24" s="59">
        <f t="shared" si="7"/>
        <v>60.97</v>
      </c>
    </row>
    <row r="25" spans="5:25" x14ac:dyDescent="0.4">
      <c r="E25" s="342"/>
      <c r="F25" s="40"/>
      <c r="K25" s="68">
        <v>10000</v>
      </c>
      <c r="L25" s="59">
        <f t="shared" si="8"/>
        <v>38.29</v>
      </c>
      <c r="M25" s="59">
        <f t="shared" si="9"/>
        <v>32.25</v>
      </c>
      <c r="N25" s="59">
        <f t="shared" si="9"/>
        <v>0</v>
      </c>
      <c r="O25" s="59"/>
      <c r="P25" s="59"/>
      <c r="Q25" s="59">
        <f t="shared" si="6"/>
        <v>70.539999999999992</v>
      </c>
      <c r="S25" s="68">
        <v>10000</v>
      </c>
      <c r="T25" s="59">
        <f t="shared" si="10"/>
        <v>40.51</v>
      </c>
      <c r="U25" s="59">
        <f t="shared" si="11"/>
        <v>34.1</v>
      </c>
      <c r="V25" s="59">
        <f t="shared" si="11"/>
        <v>0</v>
      </c>
      <c r="W25" s="59"/>
      <c r="X25" s="59"/>
      <c r="Y25" s="59">
        <f t="shared" si="7"/>
        <v>74.61</v>
      </c>
    </row>
    <row r="26" spans="5:25" x14ac:dyDescent="0.4">
      <c r="E26" s="342"/>
      <c r="F26" s="40"/>
      <c r="K26" s="68">
        <v>12000</v>
      </c>
      <c r="L26" s="59">
        <f t="shared" si="8"/>
        <v>38.29</v>
      </c>
      <c r="M26" s="59">
        <f t="shared" si="9"/>
        <v>32.25</v>
      </c>
      <c r="N26" s="59">
        <f t="shared" si="9"/>
        <v>11.56</v>
      </c>
      <c r="O26" s="59">
        <f t="shared" si="9"/>
        <v>0</v>
      </c>
      <c r="P26" s="59"/>
      <c r="Q26" s="59">
        <f t="shared" si="6"/>
        <v>82.1</v>
      </c>
      <c r="S26" s="68">
        <v>12000</v>
      </c>
      <c r="T26" s="59">
        <f t="shared" si="10"/>
        <v>40.51</v>
      </c>
      <c r="U26" s="59">
        <f t="shared" si="11"/>
        <v>34.1</v>
      </c>
      <c r="V26" s="59">
        <f t="shared" si="11"/>
        <v>12.24</v>
      </c>
      <c r="W26" s="59">
        <f t="shared" si="11"/>
        <v>0</v>
      </c>
      <c r="X26" s="59"/>
      <c r="Y26" s="59">
        <f t="shared" si="7"/>
        <v>86.85</v>
      </c>
    </row>
    <row r="27" spans="5:25" x14ac:dyDescent="0.4">
      <c r="E27" s="342"/>
      <c r="F27" s="40"/>
      <c r="K27" s="68">
        <v>14000</v>
      </c>
      <c r="L27" s="59">
        <f t="shared" si="8"/>
        <v>38.29</v>
      </c>
      <c r="M27" s="59">
        <f t="shared" si="9"/>
        <v>32.25</v>
      </c>
      <c r="N27" s="59">
        <f t="shared" si="9"/>
        <v>23.12</v>
      </c>
      <c r="O27" s="59">
        <f t="shared" si="9"/>
        <v>0</v>
      </c>
      <c r="P27" s="59"/>
      <c r="Q27" s="59">
        <f t="shared" si="6"/>
        <v>93.66</v>
      </c>
      <c r="S27" s="68">
        <v>14000</v>
      </c>
      <c r="T27" s="59">
        <f t="shared" si="10"/>
        <v>40.51</v>
      </c>
      <c r="U27" s="59">
        <f t="shared" si="11"/>
        <v>34.1</v>
      </c>
      <c r="V27" s="59">
        <f t="shared" si="11"/>
        <v>24.48</v>
      </c>
      <c r="W27" s="59">
        <f t="shared" si="11"/>
        <v>0</v>
      </c>
      <c r="X27" s="59"/>
      <c r="Y27" s="59">
        <f t="shared" si="7"/>
        <v>99.09</v>
      </c>
    </row>
    <row r="28" spans="5:25" x14ac:dyDescent="0.4">
      <c r="E28" s="342"/>
      <c r="F28" s="40"/>
      <c r="K28" s="68">
        <v>16000</v>
      </c>
      <c r="L28" s="59">
        <f t="shared" si="8"/>
        <v>38.29</v>
      </c>
      <c r="M28" s="59">
        <f t="shared" si="9"/>
        <v>32.25</v>
      </c>
      <c r="N28" s="59">
        <f t="shared" si="9"/>
        <v>34.68</v>
      </c>
      <c r="O28" s="59">
        <f t="shared" si="9"/>
        <v>0</v>
      </c>
      <c r="P28" s="59"/>
      <c r="Q28" s="59">
        <f t="shared" si="6"/>
        <v>105.22</v>
      </c>
      <c r="S28" s="68">
        <v>16000</v>
      </c>
      <c r="T28" s="59">
        <f t="shared" si="10"/>
        <v>40.51</v>
      </c>
      <c r="U28" s="59">
        <f t="shared" si="11"/>
        <v>34.1</v>
      </c>
      <c r="V28" s="59">
        <f t="shared" si="11"/>
        <v>36.720000000000006</v>
      </c>
      <c r="W28" s="59">
        <f t="shared" si="11"/>
        <v>0</v>
      </c>
      <c r="X28" s="59"/>
      <c r="Y28" s="59">
        <f t="shared" si="7"/>
        <v>111.33000000000001</v>
      </c>
    </row>
    <row r="29" spans="5:25" x14ac:dyDescent="0.4">
      <c r="E29" s="342"/>
      <c r="F29" s="40"/>
      <c r="K29" s="68">
        <v>18000</v>
      </c>
      <c r="L29" s="59">
        <f t="shared" si="8"/>
        <v>38.29</v>
      </c>
      <c r="M29" s="59">
        <f t="shared" si="9"/>
        <v>32.25</v>
      </c>
      <c r="N29" s="59">
        <f t="shared" si="9"/>
        <v>46.24</v>
      </c>
      <c r="O29" s="59">
        <f t="shared" si="9"/>
        <v>0</v>
      </c>
      <c r="P29" s="59">
        <f t="shared" si="9"/>
        <v>0</v>
      </c>
      <c r="Q29" s="59">
        <f t="shared" si="6"/>
        <v>116.78</v>
      </c>
      <c r="S29" s="68">
        <v>18000</v>
      </c>
      <c r="T29" s="59">
        <f t="shared" si="10"/>
        <v>40.51</v>
      </c>
      <c r="U29" s="59">
        <f t="shared" si="11"/>
        <v>34.1</v>
      </c>
      <c r="V29" s="59">
        <f t="shared" si="11"/>
        <v>48.96</v>
      </c>
      <c r="W29" s="59">
        <f t="shared" si="11"/>
        <v>0</v>
      </c>
      <c r="X29" s="59">
        <f t="shared" si="11"/>
        <v>0</v>
      </c>
      <c r="Y29" s="59">
        <f t="shared" si="7"/>
        <v>123.57</v>
      </c>
    </row>
    <row r="30" spans="5:25" x14ac:dyDescent="0.4">
      <c r="E30" s="342"/>
      <c r="F30" s="40"/>
      <c r="K30" s="68">
        <v>20000</v>
      </c>
      <c r="L30" s="59">
        <f t="shared" si="8"/>
        <v>38.29</v>
      </c>
      <c r="M30" s="59">
        <f t="shared" si="9"/>
        <v>32.25</v>
      </c>
      <c r="N30" s="59">
        <f t="shared" si="9"/>
        <v>57.800000000000004</v>
      </c>
      <c r="O30" s="59">
        <f t="shared" si="9"/>
        <v>0</v>
      </c>
      <c r="P30" s="59">
        <f t="shared" si="9"/>
        <v>0</v>
      </c>
      <c r="Q30" s="59">
        <f t="shared" si="6"/>
        <v>128.34</v>
      </c>
      <c r="S30" s="68">
        <v>20000</v>
      </c>
      <c r="T30" s="59">
        <f t="shared" si="10"/>
        <v>40.51</v>
      </c>
      <c r="U30" s="59">
        <f t="shared" si="11"/>
        <v>34.1</v>
      </c>
      <c r="V30" s="59">
        <f t="shared" si="11"/>
        <v>61.2</v>
      </c>
      <c r="W30" s="59">
        <f t="shared" si="11"/>
        <v>0</v>
      </c>
      <c r="X30" s="59">
        <f t="shared" si="11"/>
        <v>0</v>
      </c>
      <c r="Y30" s="59">
        <f t="shared" si="7"/>
        <v>135.81</v>
      </c>
    </row>
    <row r="31" spans="5:25" x14ac:dyDescent="0.4">
      <c r="E31" s="342"/>
      <c r="F31" s="40"/>
    </row>
    <row r="32" spans="5:25" x14ac:dyDescent="0.4">
      <c r="E32" s="342"/>
      <c r="F32" s="40"/>
    </row>
    <row r="33" spans="5:6" x14ac:dyDescent="0.4">
      <c r="E33" s="342"/>
      <c r="F33" s="40"/>
    </row>
  </sheetData>
  <mergeCells count="2">
    <mergeCell ref="K7:Q7"/>
    <mergeCell ref="S7:Y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12740-585D-48C5-9C4B-4C004EF932C4}">
  <dimension ref="A3:W24"/>
  <sheetViews>
    <sheetView workbookViewId="0">
      <selection sqref="A1:XFD1048576"/>
    </sheetView>
  </sheetViews>
  <sheetFormatPr defaultRowHeight="15" x14ac:dyDescent="0.4"/>
  <cols>
    <col min="3" max="3" width="4.77734375" style="40" customWidth="1"/>
    <col min="4" max="5" width="10.77734375" style="40" customWidth="1"/>
    <col min="6" max="6" width="1.77734375" style="214" customWidth="1"/>
    <col min="7" max="7" width="10.77734375" style="40" customWidth="1"/>
    <col min="8" max="8" width="1.21875" style="40" customWidth="1"/>
    <col min="9" max="9" width="10.77734375" style="214" customWidth="1"/>
    <col min="10" max="10" width="10.77734375" style="40" customWidth="1"/>
    <col min="11" max="11" width="11.44140625" style="68" bestFit="1" customWidth="1"/>
    <col min="12" max="14" width="10.44140625" style="68" bestFit="1" customWidth="1"/>
    <col min="15" max="15" width="11.44140625" style="68" bestFit="1" customWidth="1"/>
    <col min="18" max="18" width="11.44140625" style="68" bestFit="1" customWidth="1"/>
    <col min="19" max="21" width="10.44140625" style="68" bestFit="1" customWidth="1"/>
    <col min="22" max="22" width="11.44140625" style="68" bestFit="1" customWidth="1"/>
  </cols>
  <sheetData>
    <row r="3" spans="1:23" x14ac:dyDescent="0.4">
      <c r="C3"/>
      <c r="D3"/>
      <c r="E3"/>
      <c r="F3"/>
      <c r="G3"/>
      <c r="H3"/>
      <c r="I3"/>
      <c r="J3"/>
    </row>
    <row r="4" spans="1:23" x14ac:dyDescent="0.4">
      <c r="C4"/>
      <c r="D4"/>
      <c r="E4"/>
      <c r="F4"/>
      <c r="G4"/>
      <c r="H4"/>
      <c r="I4"/>
      <c r="J4"/>
    </row>
    <row r="5" spans="1:23" x14ac:dyDescent="0.4">
      <c r="C5"/>
      <c r="D5"/>
      <c r="E5"/>
      <c r="F5"/>
      <c r="G5"/>
      <c r="H5"/>
      <c r="I5"/>
      <c r="J5"/>
    </row>
    <row r="7" spans="1:23" x14ac:dyDescent="0.4">
      <c r="C7" s="339"/>
      <c r="I7" s="340"/>
      <c r="K7" s="522" t="s">
        <v>456</v>
      </c>
      <c r="L7" s="522"/>
      <c r="M7" s="522"/>
      <c r="N7" s="522"/>
      <c r="O7" s="522"/>
      <c r="P7" s="522"/>
      <c r="R7" s="522" t="s">
        <v>456</v>
      </c>
      <c r="S7" s="522"/>
      <c r="T7" s="522"/>
      <c r="U7" s="522"/>
      <c r="V7" s="522"/>
      <c r="W7" s="522"/>
    </row>
    <row r="8" spans="1:23" ht="15.75" x14ac:dyDescent="0.5">
      <c r="A8" s="40" t="s">
        <v>243</v>
      </c>
      <c r="B8" s="60"/>
      <c r="D8" s="219"/>
      <c r="E8" s="220"/>
      <c r="F8" s="13"/>
      <c r="H8" s="60"/>
      <c r="I8" s="40"/>
      <c r="J8" s="219"/>
      <c r="L8" s="60">
        <v>5000</v>
      </c>
      <c r="M8" s="60">
        <v>5000</v>
      </c>
      <c r="N8" s="60">
        <v>190000</v>
      </c>
      <c r="O8" s="60">
        <f>SUM(L8:N8)</f>
        <v>200000</v>
      </c>
      <c r="S8" s="60">
        <v>5000</v>
      </c>
      <c r="T8" s="60">
        <v>5000</v>
      </c>
      <c r="U8" s="60">
        <v>190000</v>
      </c>
      <c r="V8" s="60">
        <f>SUM(S8:U8)</f>
        <v>200000</v>
      </c>
    </row>
    <row r="9" spans="1:23" ht="15.75" x14ac:dyDescent="0.5">
      <c r="A9" s="40" t="s">
        <v>48</v>
      </c>
      <c r="B9" s="60">
        <v>10000</v>
      </c>
      <c r="C9" s="40" t="s">
        <v>125</v>
      </c>
      <c r="D9" s="221">
        <f>'Table C'!F32</f>
        <v>77.12</v>
      </c>
      <c r="E9" s="220" t="s">
        <v>145</v>
      </c>
      <c r="F9" s="13"/>
      <c r="G9" s="221">
        <f>'Table C'!L32</f>
        <v>81.600000000000009</v>
      </c>
      <c r="H9" s="220" t="s">
        <v>145</v>
      </c>
      <c r="I9" s="40"/>
      <c r="L9" s="221">
        <f>D9</f>
        <v>77.12</v>
      </c>
      <c r="M9" s="222">
        <f>D10</f>
        <v>5.7800000000000004E-3</v>
      </c>
      <c r="N9" s="222">
        <f>D11</f>
        <v>5.4099999999999999E-3</v>
      </c>
      <c r="O9" s="222">
        <f>D12</f>
        <v>4.0099999999999997E-3</v>
      </c>
      <c r="S9" s="221">
        <f>G9</f>
        <v>81.600000000000009</v>
      </c>
      <c r="T9" s="222">
        <f>G10</f>
        <v>6.1200000000000004E-3</v>
      </c>
      <c r="U9" s="222">
        <f>G11</f>
        <v>5.7200000000000003E-3</v>
      </c>
      <c r="V9" s="222">
        <f>G12</f>
        <v>4.2399999999999998E-3</v>
      </c>
    </row>
    <row r="10" spans="1:23" ht="15.75" x14ac:dyDescent="0.5">
      <c r="A10" s="40" t="s">
        <v>49</v>
      </c>
      <c r="B10" s="60">
        <v>190000</v>
      </c>
      <c r="C10" s="40" t="s">
        <v>125</v>
      </c>
      <c r="D10" s="222">
        <f>'Table C'!F33</f>
        <v>5.7800000000000004E-3</v>
      </c>
      <c r="E10" s="220" t="s">
        <v>144</v>
      </c>
      <c r="F10" s="13"/>
      <c r="G10" s="222">
        <f>'Table C'!L33</f>
        <v>6.1200000000000004E-3</v>
      </c>
      <c r="H10" s="220" t="s">
        <v>144</v>
      </c>
      <c r="I10" s="40"/>
      <c r="K10" s="68">
        <v>5000</v>
      </c>
      <c r="L10" s="68">
        <f>K10</f>
        <v>5000</v>
      </c>
      <c r="R10" s="68">
        <v>5000</v>
      </c>
      <c r="S10" s="68">
        <f t="shared" ref="S10:V15" si="0">L10</f>
        <v>5000</v>
      </c>
      <c r="T10" s="68">
        <f t="shared" si="0"/>
        <v>0</v>
      </c>
      <c r="U10" s="68">
        <f t="shared" si="0"/>
        <v>0</v>
      </c>
      <c r="V10" s="68">
        <f t="shared" si="0"/>
        <v>0</v>
      </c>
    </row>
    <row r="11" spans="1:23" ht="15.75" x14ac:dyDescent="0.5">
      <c r="A11" s="40" t="s">
        <v>49</v>
      </c>
      <c r="B11" s="60">
        <v>400000</v>
      </c>
      <c r="C11" s="40" t="s">
        <v>125</v>
      </c>
      <c r="D11" s="222">
        <f>'Table C'!F34</f>
        <v>5.4099999999999999E-3</v>
      </c>
      <c r="E11" s="220" t="s">
        <v>144</v>
      </c>
      <c r="F11" s="13"/>
      <c r="G11" s="222">
        <f>'Table C'!L34</f>
        <v>5.7200000000000003E-3</v>
      </c>
      <c r="H11" s="220" t="s">
        <v>144</v>
      </c>
      <c r="I11" s="40"/>
      <c r="K11" s="68">
        <v>10000</v>
      </c>
      <c r="L11" s="68">
        <f>L10</f>
        <v>5000</v>
      </c>
      <c r="M11" s="60">
        <f>K11-L11</f>
        <v>5000</v>
      </c>
      <c r="P11" s="68">
        <f>SUM(L11:O11)</f>
        <v>10000</v>
      </c>
      <c r="R11" s="68">
        <v>10000</v>
      </c>
      <c r="S11" s="68">
        <f t="shared" si="0"/>
        <v>5000</v>
      </c>
      <c r="T11" s="68">
        <f t="shared" si="0"/>
        <v>5000</v>
      </c>
      <c r="U11" s="68">
        <f t="shared" si="0"/>
        <v>0</v>
      </c>
      <c r="V11" s="68">
        <f t="shared" si="0"/>
        <v>0</v>
      </c>
      <c r="W11" s="68">
        <f>SUM(S11:V11)</f>
        <v>10000</v>
      </c>
    </row>
    <row r="12" spans="1:23" ht="15.75" x14ac:dyDescent="0.5">
      <c r="A12" s="40" t="s">
        <v>76</v>
      </c>
      <c r="B12" s="60">
        <f>SUM(B9:B11)</f>
        <v>600000</v>
      </c>
      <c r="C12" s="40" t="s">
        <v>125</v>
      </c>
      <c r="D12" s="222">
        <f>'Table C'!F35</f>
        <v>4.0099999999999997E-3</v>
      </c>
      <c r="E12" s="220" t="s">
        <v>144</v>
      </c>
      <c r="F12" s="13"/>
      <c r="G12" s="222">
        <f>'Table C'!L35</f>
        <v>4.2399999999999998E-3</v>
      </c>
      <c r="H12" s="220" t="s">
        <v>144</v>
      </c>
      <c r="I12" s="40"/>
      <c r="K12" s="68">
        <v>15000</v>
      </c>
      <c r="L12" s="68">
        <f t="shared" ref="L12:M15" si="1">L11</f>
        <v>5000</v>
      </c>
      <c r="M12" s="68">
        <f t="shared" si="1"/>
        <v>5000</v>
      </c>
      <c r="N12" s="68">
        <f>K12-L12-M12</f>
        <v>5000</v>
      </c>
      <c r="P12" s="68">
        <f>SUM(L12:O12)</f>
        <v>15000</v>
      </c>
      <c r="R12" s="68">
        <v>15000</v>
      </c>
      <c r="S12" s="68">
        <f t="shared" si="0"/>
        <v>5000</v>
      </c>
      <c r="T12" s="68">
        <f t="shared" si="0"/>
        <v>5000</v>
      </c>
      <c r="U12" s="68">
        <f t="shared" si="0"/>
        <v>5000</v>
      </c>
      <c r="V12" s="68">
        <f t="shared" si="0"/>
        <v>0</v>
      </c>
      <c r="W12" s="68">
        <f>SUM(S12:V12)</f>
        <v>15000</v>
      </c>
    </row>
    <row r="13" spans="1:23" x14ac:dyDescent="0.4">
      <c r="K13" s="68">
        <v>20000</v>
      </c>
      <c r="L13" s="68">
        <f t="shared" si="1"/>
        <v>5000</v>
      </c>
      <c r="M13" s="68">
        <f t="shared" si="1"/>
        <v>5000</v>
      </c>
      <c r="N13" s="68">
        <f>K13-L13-M13</f>
        <v>10000</v>
      </c>
      <c r="P13" s="68">
        <f>SUM(L13:O13)</f>
        <v>20000</v>
      </c>
      <c r="R13" s="68">
        <v>20000</v>
      </c>
      <c r="S13" s="68">
        <f t="shared" si="0"/>
        <v>5000</v>
      </c>
      <c r="T13" s="68">
        <f t="shared" si="0"/>
        <v>5000</v>
      </c>
      <c r="U13" s="68">
        <f t="shared" si="0"/>
        <v>10000</v>
      </c>
      <c r="V13" s="68">
        <f t="shared" si="0"/>
        <v>0</v>
      </c>
      <c r="W13" s="68">
        <f>SUM(S13:V13)</f>
        <v>20000</v>
      </c>
    </row>
    <row r="14" spans="1:23" x14ac:dyDescent="0.4">
      <c r="E14" s="342"/>
      <c r="F14" s="40"/>
      <c r="K14" s="68">
        <v>25000</v>
      </c>
      <c r="L14" s="68">
        <f t="shared" si="1"/>
        <v>5000</v>
      </c>
      <c r="M14" s="68">
        <f t="shared" si="1"/>
        <v>5000</v>
      </c>
      <c r="N14" s="68">
        <f>K14-L14-M14</f>
        <v>15000</v>
      </c>
      <c r="P14" s="68">
        <f>SUM(L14:O14)</f>
        <v>25000</v>
      </c>
      <c r="R14" s="68">
        <v>25000</v>
      </c>
      <c r="S14" s="68">
        <f t="shared" si="0"/>
        <v>5000</v>
      </c>
      <c r="T14" s="68">
        <f t="shared" si="0"/>
        <v>5000</v>
      </c>
      <c r="U14" s="68">
        <f t="shared" si="0"/>
        <v>15000</v>
      </c>
      <c r="V14" s="68">
        <f t="shared" si="0"/>
        <v>0</v>
      </c>
      <c r="W14" s="68">
        <f>SUM(S14:V14)</f>
        <v>25000</v>
      </c>
    </row>
    <row r="15" spans="1:23" x14ac:dyDescent="0.4">
      <c r="E15" s="342"/>
      <c r="F15" s="40"/>
      <c r="K15" s="68">
        <v>30000</v>
      </c>
      <c r="L15" s="68">
        <f t="shared" si="1"/>
        <v>5000</v>
      </c>
      <c r="M15" s="68">
        <f t="shared" si="1"/>
        <v>5000</v>
      </c>
      <c r="N15" s="68">
        <f>K15-L15-M15</f>
        <v>20000</v>
      </c>
      <c r="P15" s="68">
        <f>SUM(L15:O15)</f>
        <v>30000</v>
      </c>
      <c r="R15" s="68">
        <v>30000</v>
      </c>
      <c r="S15" s="68">
        <f t="shared" si="0"/>
        <v>5000</v>
      </c>
      <c r="T15" s="68">
        <f t="shared" si="0"/>
        <v>5000</v>
      </c>
      <c r="U15" s="68">
        <f t="shared" si="0"/>
        <v>20000</v>
      </c>
      <c r="V15" s="68">
        <f t="shared" si="0"/>
        <v>0</v>
      </c>
      <c r="W15" s="68">
        <f>SUM(S15:V15)</f>
        <v>30000</v>
      </c>
    </row>
    <row r="16" spans="1:23" x14ac:dyDescent="0.4">
      <c r="E16" s="342"/>
      <c r="F16" s="40"/>
    </row>
    <row r="17" spans="5:23" x14ac:dyDescent="0.4">
      <c r="E17" s="342"/>
      <c r="F17" s="40"/>
      <c r="K17" s="68">
        <v>5000</v>
      </c>
      <c r="L17" s="59">
        <f>L9</f>
        <v>77.12</v>
      </c>
      <c r="M17" s="59"/>
      <c r="N17" s="59"/>
      <c r="O17" s="59"/>
      <c r="P17" s="59">
        <f t="shared" ref="P17:P22" si="2">SUM(L17:O17)</f>
        <v>77.12</v>
      </c>
      <c r="R17" s="68">
        <v>5000</v>
      </c>
      <c r="S17" s="59">
        <f>S9</f>
        <v>81.600000000000009</v>
      </c>
      <c r="T17" s="59"/>
      <c r="U17" s="59"/>
      <c r="V17" s="59"/>
      <c r="W17" s="59">
        <f t="shared" ref="W17:W22" si="3">SUM(S17:V17)</f>
        <v>81.600000000000009</v>
      </c>
    </row>
    <row r="18" spans="5:23" x14ac:dyDescent="0.4">
      <c r="E18" s="342"/>
      <c r="F18" s="40"/>
      <c r="K18" s="68">
        <v>10000</v>
      </c>
      <c r="L18" s="59">
        <f>L17</f>
        <v>77.12</v>
      </c>
      <c r="M18" s="59">
        <f>M11*M$9</f>
        <v>28.900000000000002</v>
      </c>
      <c r="N18" s="59"/>
      <c r="O18" s="59"/>
      <c r="P18" s="59">
        <f t="shared" si="2"/>
        <v>106.02000000000001</v>
      </c>
      <c r="R18" s="68">
        <v>10000</v>
      </c>
      <c r="S18" s="59">
        <f>S17</f>
        <v>81.600000000000009</v>
      </c>
      <c r="T18" s="59">
        <f>T11*T$9</f>
        <v>30.6</v>
      </c>
      <c r="U18" s="59"/>
      <c r="V18" s="59"/>
      <c r="W18" s="59">
        <f t="shared" si="3"/>
        <v>112.20000000000002</v>
      </c>
    </row>
    <row r="19" spans="5:23" x14ac:dyDescent="0.4">
      <c r="E19" s="342"/>
      <c r="F19" s="40"/>
      <c r="K19" s="68">
        <v>15000</v>
      </c>
      <c r="L19" s="59">
        <f t="shared" ref="L19:L22" si="4">L18</f>
        <v>77.12</v>
      </c>
      <c r="M19" s="59">
        <f>M12*M$9</f>
        <v>28.900000000000002</v>
      </c>
      <c r="N19" s="59">
        <f>N12*N$9</f>
        <v>27.05</v>
      </c>
      <c r="O19" s="59"/>
      <c r="P19" s="59">
        <f t="shared" si="2"/>
        <v>133.07000000000002</v>
      </c>
      <c r="R19" s="68">
        <v>15000</v>
      </c>
      <c r="S19" s="59">
        <f t="shared" ref="S19:S22" si="5">S18</f>
        <v>81.600000000000009</v>
      </c>
      <c r="T19" s="59">
        <f>T12*T$9</f>
        <v>30.6</v>
      </c>
      <c r="U19" s="59">
        <f>U12*U$9</f>
        <v>28.6</v>
      </c>
      <c r="V19" s="59"/>
      <c r="W19" s="59">
        <f t="shared" si="3"/>
        <v>140.80000000000001</v>
      </c>
    </row>
    <row r="20" spans="5:23" x14ac:dyDescent="0.4">
      <c r="E20" s="342"/>
      <c r="F20" s="40"/>
      <c r="K20" s="68">
        <v>20000</v>
      </c>
      <c r="L20" s="59">
        <f t="shared" si="4"/>
        <v>77.12</v>
      </c>
      <c r="M20" s="59">
        <f>M13*M$9</f>
        <v>28.900000000000002</v>
      </c>
      <c r="N20" s="59">
        <f>N13*N$9</f>
        <v>54.1</v>
      </c>
      <c r="O20" s="59"/>
      <c r="P20" s="59">
        <f t="shared" si="2"/>
        <v>160.12</v>
      </c>
      <c r="R20" s="68">
        <v>20000</v>
      </c>
      <c r="S20" s="59">
        <f t="shared" si="5"/>
        <v>81.600000000000009</v>
      </c>
      <c r="T20" s="59">
        <f>T13*T$9</f>
        <v>30.6</v>
      </c>
      <c r="U20" s="59">
        <f>U13*U$9</f>
        <v>57.2</v>
      </c>
      <c r="V20" s="59"/>
      <c r="W20" s="59">
        <f t="shared" si="3"/>
        <v>169.40000000000003</v>
      </c>
    </row>
    <row r="21" spans="5:23" x14ac:dyDescent="0.4">
      <c r="E21" s="342"/>
      <c r="F21" s="40"/>
      <c r="K21" s="68">
        <v>25000</v>
      </c>
      <c r="L21" s="59">
        <f t="shared" si="4"/>
        <v>77.12</v>
      </c>
      <c r="M21" s="59">
        <f>M14*M$9</f>
        <v>28.900000000000002</v>
      </c>
      <c r="N21" s="59">
        <f>N14*N$9</f>
        <v>81.149999999999991</v>
      </c>
      <c r="O21" s="59"/>
      <c r="P21" s="59">
        <f t="shared" si="2"/>
        <v>187.17000000000002</v>
      </c>
      <c r="R21" s="68">
        <v>25000</v>
      </c>
      <c r="S21" s="59">
        <f t="shared" si="5"/>
        <v>81.600000000000009</v>
      </c>
      <c r="T21" s="59">
        <f>T14*T$9</f>
        <v>30.6</v>
      </c>
      <c r="U21" s="59">
        <f>U14*U$9</f>
        <v>85.8</v>
      </c>
      <c r="V21" s="59"/>
      <c r="W21" s="59">
        <f t="shared" si="3"/>
        <v>198</v>
      </c>
    </row>
    <row r="22" spans="5:23" x14ac:dyDescent="0.4">
      <c r="E22" s="342"/>
      <c r="F22" s="40"/>
      <c r="K22" s="68">
        <v>30000</v>
      </c>
      <c r="L22" s="59">
        <f t="shared" si="4"/>
        <v>77.12</v>
      </c>
      <c r="M22" s="59">
        <f>M15*M$9</f>
        <v>28.900000000000002</v>
      </c>
      <c r="N22" s="59">
        <f>N15*N$9</f>
        <v>108.2</v>
      </c>
      <c r="O22" s="59"/>
      <c r="P22" s="59">
        <f t="shared" si="2"/>
        <v>214.22000000000003</v>
      </c>
      <c r="R22" s="68">
        <v>30000</v>
      </c>
      <c r="S22" s="59">
        <f t="shared" si="5"/>
        <v>81.600000000000009</v>
      </c>
      <c r="T22" s="59">
        <f>T15*T$9</f>
        <v>30.6</v>
      </c>
      <c r="U22" s="59">
        <f>U15*U$9</f>
        <v>114.4</v>
      </c>
      <c r="V22" s="59"/>
      <c r="W22" s="59">
        <f t="shared" si="3"/>
        <v>226.60000000000002</v>
      </c>
    </row>
    <row r="23" spans="5:23" x14ac:dyDescent="0.4">
      <c r="E23" s="342"/>
      <c r="F23" s="40"/>
    </row>
    <row r="24" spans="5:23" x14ac:dyDescent="0.4">
      <c r="E24" s="342"/>
      <c r="F24" s="40"/>
    </row>
  </sheetData>
  <mergeCells count="2">
    <mergeCell ref="K7:P7"/>
    <mergeCell ref="R7:W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367AE-4954-4834-A22E-916871474D17}">
  <dimension ref="A3:W23"/>
  <sheetViews>
    <sheetView workbookViewId="0">
      <selection sqref="A1:XFD1048576"/>
    </sheetView>
  </sheetViews>
  <sheetFormatPr defaultRowHeight="15" x14ac:dyDescent="0.4"/>
  <cols>
    <col min="3" max="3" width="4.77734375" style="40" customWidth="1"/>
    <col min="4" max="5" width="10.77734375" style="40" customWidth="1"/>
    <col min="6" max="6" width="1.77734375" style="214" customWidth="1"/>
    <col min="7" max="7" width="10.77734375" style="40" customWidth="1"/>
    <col min="8" max="8" width="1.21875" style="40" customWidth="1"/>
    <col min="9" max="9" width="10.77734375" style="214" customWidth="1"/>
    <col min="10" max="10" width="10.77734375" style="40" customWidth="1"/>
    <col min="11" max="11" width="11.44140625" style="68" bestFit="1" customWidth="1"/>
    <col min="12" max="14" width="10.44140625" style="68" bestFit="1" customWidth="1"/>
    <col min="15" max="15" width="11.44140625" style="68" bestFit="1" customWidth="1"/>
    <col min="18" max="18" width="11.44140625" style="68" bestFit="1" customWidth="1"/>
    <col min="19" max="21" width="10.44140625" style="68" bestFit="1" customWidth="1"/>
    <col min="22" max="22" width="11.44140625" style="68" bestFit="1" customWidth="1"/>
  </cols>
  <sheetData>
    <row r="3" spans="1:23" x14ac:dyDescent="0.4">
      <c r="C3"/>
      <c r="D3"/>
      <c r="E3"/>
      <c r="F3"/>
      <c r="G3"/>
      <c r="H3"/>
      <c r="I3"/>
      <c r="J3"/>
    </row>
    <row r="4" spans="1:23" x14ac:dyDescent="0.4">
      <c r="C4"/>
      <c r="D4"/>
      <c r="E4"/>
      <c r="F4"/>
      <c r="G4"/>
      <c r="H4"/>
      <c r="I4"/>
      <c r="J4"/>
    </row>
    <row r="5" spans="1:23" x14ac:dyDescent="0.4">
      <c r="C5"/>
      <c r="D5"/>
      <c r="E5"/>
      <c r="F5"/>
      <c r="G5"/>
      <c r="H5"/>
      <c r="I5"/>
      <c r="J5"/>
    </row>
    <row r="7" spans="1:23" x14ac:dyDescent="0.4">
      <c r="C7" s="339"/>
      <c r="I7" s="340"/>
      <c r="K7" s="522" t="s">
        <v>456</v>
      </c>
      <c r="L7" s="522"/>
      <c r="M7" s="522"/>
      <c r="N7" s="522"/>
      <c r="O7" s="522"/>
      <c r="P7" s="522"/>
      <c r="R7" s="522" t="s">
        <v>456</v>
      </c>
      <c r="S7" s="522"/>
      <c r="T7" s="522"/>
      <c r="U7" s="522"/>
      <c r="V7" s="522"/>
      <c r="W7" s="522"/>
    </row>
    <row r="8" spans="1:23" ht="15.75" x14ac:dyDescent="0.5">
      <c r="A8" s="40" t="s">
        <v>232</v>
      </c>
      <c r="B8" s="60"/>
      <c r="D8" s="219"/>
      <c r="E8" s="220"/>
      <c r="F8" s="13"/>
      <c r="H8" s="60"/>
      <c r="I8" s="40"/>
      <c r="J8" s="219"/>
      <c r="L8" s="60">
        <v>16000</v>
      </c>
      <c r="M8" s="60">
        <v>184000</v>
      </c>
      <c r="N8" s="60">
        <v>400000</v>
      </c>
      <c r="O8" s="60">
        <f>SUM(K8:N8)</f>
        <v>600000</v>
      </c>
      <c r="S8" s="60">
        <v>16000</v>
      </c>
      <c r="T8" s="60">
        <v>184000</v>
      </c>
      <c r="U8" s="60">
        <v>400000</v>
      </c>
      <c r="V8" s="60">
        <f>SUM(R8:U8)</f>
        <v>600000</v>
      </c>
    </row>
    <row r="9" spans="1:23" ht="15.75" x14ac:dyDescent="0.5">
      <c r="A9" s="40" t="s">
        <v>48</v>
      </c>
      <c r="B9" s="60">
        <v>16000</v>
      </c>
      <c r="C9" s="40" t="s">
        <v>125</v>
      </c>
      <c r="D9" s="221">
        <f>'Table C'!F38</f>
        <v>113.43</v>
      </c>
      <c r="E9" s="220" t="s">
        <v>145</v>
      </c>
      <c r="F9" s="13"/>
      <c r="G9" s="221">
        <f>'Table C'!L38</f>
        <v>120.02000000000001</v>
      </c>
      <c r="H9" s="220" t="s">
        <v>145</v>
      </c>
      <c r="I9" s="40"/>
      <c r="L9" s="221">
        <f>D9</f>
        <v>113.43</v>
      </c>
      <c r="M9" s="222">
        <f>D10</f>
        <v>5.7800000000000004E-3</v>
      </c>
      <c r="N9" s="222">
        <f>D11</f>
        <v>5.4099999999999999E-3</v>
      </c>
      <c r="O9" s="222">
        <f>D12</f>
        <v>4.0099999999999997E-3</v>
      </c>
      <c r="S9" s="221">
        <f>G9</f>
        <v>120.02000000000001</v>
      </c>
      <c r="T9" s="222">
        <f>G10</f>
        <v>6.1200000000000004E-3</v>
      </c>
      <c r="U9" s="222">
        <f>G11</f>
        <v>5.7200000000000003E-3</v>
      </c>
      <c r="V9" s="222">
        <f>G12</f>
        <v>4.2399999999999998E-3</v>
      </c>
    </row>
    <row r="10" spans="1:23" ht="15.75" x14ac:dyDescent="0.5">
      <c r="A10" s="40" t="s">
        <v>49</v>
      </c>
      <c r="B10" s="60">
        <v>184000</v>
      </c>
      <c r="C10" s="40" t="s">
        <v>125</v>
      </c>
      <c r="D10" s="222">
        <f>'Table C'!F39</f>
        <v>5.7800000000000004E-3</v>
      </c>
      <c r="E10" s="220" t="s">
        <v>144</v>
      </c>
      <c r="F10" s="13"/>
      <c r="G10" s="222">
        <f>'Table C'!L39</f>
        <v>6.1200000000000004E-3</v>
      </c>
      <c r="H10" s="220" t="s">
        <v>144</v>
      </c>
      <c r="I10" s="40"/>
      <c r="K10" s="68">
        <v>30000</v>
      </c>
      <c r="L10" s="68">
        <v>16000</v>
      </c>
      <c r="M10" s="68">
        <f>K10-L10</f>
        <v>14000</v>
      </c>
      <c r="R10" s="68">
        <v>30000</v>
      </c>
      <c r="S10" s="68">
        <f t="shared" ref="S10:V15" si="0">L10</f>
        <v>16000</v>
      </c>
      <c r="T10" s="68">
        <f t="shared" si="0"/>
        <v>14000</v>
      </c>
      <c r="U10" s="68">
        <f t="shared" si="0"/>
        <v>0</v>
      </c>
      <c r="V10" s="68">
        <f t="shared" si="0"/>
        <v>0</v>
      </c>
    </row>
    <row r="11" spans="1:23" ht="15.75" x14ac:dyDescent="0.5">
      <c r="A11" s="40" t="s">
        <v>49</v>
      </c>
      <c r="B11" s="60">
        <v>400000</v>
      </c>
      <c r="C11" s="40" t="s">
        <v>125</v>
      </c>
      <c r="D11" s="222">
        <f>'Table C'!F40</f>
        <v>5.4099999999999999E-3</v>
      </c>
      <c r="E11" s="220" t="s">
        <v>144</v>
      </c>
      <c r="F11" s="13"/>
      <c r="G11" s="222">
        <f>'Table C'!L40</f>
        <v>5.7200000000000003E-3</v>
      </c>
      <c r="H11" s="220" t="s">
        <v>144</v>
      </c>
      <c r="I11" s="40"/>
      <c r="K11" s="68">
        <v>60000</v>
      </c>
      <c r="L11" s="68">
        <v>16000</v>
      </c>
      <c r="M11" s="60">
        <f>K11-L11</f>
        <v>44000</v>
      </c>
      <c r="P11" s="68">
        <f>SUM(L11:O11)</f>
        <v>60000</v>
      </c>
      <c r="R11" s="68">
        <v>60000</v>
      </c>
      <c r="S11" s="68">
        <f t="shared" si="0"/>
        <v>16000</v>
      </c>
      <c r="T11" s="68">
        <f t="shared" si="0"/>
        <v>44000</v>
      </c>
      <c r="U11" s="68">
        <f t="shared" si="0"/>
        <v>0</v>
      </c>
      <c r="V11" s="68">
        <f t="shared" si="0"/>
        <v>0</v>
      </c>
      <c r="W11" s="68">
        <f>SUM(S11:V11)</f>
        <v>60000</v>
      </c>
    </row>
    <row r="12" spans="1:23" ht="15.75" x14ac:dyDescent="0.5">
      <c r="A12" s="40" t="s">
        <v>76</v>
      </c>
      <c r="B12" s="60">
        <f>SUM(B8:B11)</f>
        <v>600000</v>
      </c>
      <c r="C12" s="40" t="s">
        <v>125</v>
      </c>
      <c r="D12" s="222">
        <f>'Table C'!F41</f>
        <v>4.0099999999999997E-3</v>
      </c>
      <c r="E12" s="220" t="s">
        <v>144</v>
      </c>
      <c r="F12" s="13"/>
      <c r="G12" s="222">
        <f>'Table C'!L41</f>
        <v>4.2399999999999998E-3</v>
      </c>
      <c r="H12" s="220" t="s">
        <v>144</v>
      </c>
      <c r="I12" s="40"/>
      <c r="K12" s="68">
        <v>80000</v>
      </c>
      <c r="L12" s="68">
        <v>16000</v>
      </c>
      <c r="M12" s="60">
        <f t="shared" ref="M12:M15" si="1">K12-L12</f>
        <v>64000</v>
      </c>
      <c r="N12" s="68">
        <f>K12-L12-M12</f>
        <v>0</v>
      </c>
      <c r="P12" s="68">
        <f>SUM(L12:O12)</f>
        <v>80000</v>
      </c>
      <c r="R12" s="68">
        <v>80000</v>
      </c>
      <c r="S12" s="68">
        <f t="shared" si="0"/>
        <v>16000</v>
      </c>
      <c r="T12" s="68">
        <f t="shared" si="0"/>
        <v>64000</v>
      </c>
      <c r="U12" s="68">
        <f t="shared" si="0"/>
        <v>0</v>
      </c>
      <c r="V12" s="68">
        <f t="shared" si="0"/>
        <v>0</v>
      </c>
      <c r="W12" s="68">
        <f>SUM(S12:V12)</f>
        <v>80000</v>
      </c>
    </row>
    <row r="13" spans="1:23" x14ac:dyDescent="0.4">
      <c r="G13" s="222"/>
      <c r="K13" s="68">
        <v>100000</v>
      </c>
      <c r="L13" s="68">
        <v>16000</v>
      </c>
      <c r="M13" s="60">
        <f t="shared" si="1"/>
        <v>84000</v>
      </c>
      <c r="N13" s="68">
        <f>K13-L13-M13</f>
        <v>0</v>
      </c>
      <c r="P13" s="68">
        <f>SUM(L13:O13)</f>
        <v>100000</v>
      </c>
      <c r="R13" s="68">
        <v>100000</v>
      </c>
      <c r="S13" s="68">
        <f t="shared" si="0"/>
        <v>16000</v>
      </c>
      <c r="T13" s="68">
        <f t="shared" si="0"/>
        <v>84000</v>
      </c>
      <c r="U13" s="68">
        <f t="shared" si="0"/>
        <v>0</v>
      </c>
      <c r="V13" s="68">
        <f t="shared" si="0"/>
        <v>0</v>
      </c>
      <c r="W13" s="68">
        <f>SUM(S13:V13)</f>
        <v>100000</v>
      </c>
    </row>
    <row r="14" spans="1:23" x14ac:dyDescent="0.4">
      <c r="E14" s="342"/>
      <c r="F14" s="40"/>
      <c r="K14" s="68">
        <v>120000</v>
      </c>
      <c r="L14" s="68">
        <v>16000</v>
      </c>
      <c r="M14" s="60">
        <f t="shared" si="1"/>
        <v>104000</v>
      </c>
      <c r="N14" s="68">
        <f>K14-L14-M14</f>
        <v>0</v>
      </c>
      <c r="P14" s="68">
        <f>SUM(L14:O14)</f>
        <v>120000</v>
      </c>
      <c r="R14" s="68">
        <v>120000</v>
      </c>
      <c r="S14" s="68">
        <f t="shared" si="0"/>
        <v>16000</v>
      </c>
      <c r="T14" s="68">
        <f t="shared" si="0"/>
        <v>104000</v>
      </c>
      <c r="U14" s="68">
        <f t="shared" si="0"/>
        <v>0</v>
      </c>
      <c r="V14" s="68">
        <f t="shared" si="0"/>
        <v>0</v>
      </c>
      <c r="W14" s="68">
        <f>SUM(S14:V14)</f>
        <v>120000</v>
      </c>
    </row>
    <row r="15" spans="1:23" x14ac:dyDescent="0.4">
      <c r="E15" s="342"/>
      <c r="F15" s="40"/>
      <c r="K15" s="68">
        <v>140000</v>
      </c>
      <c r="L15" s="68">
        <v>16000</v>
      </c>
      <c r="M15" s="60">
        <f t="shared" si="1"/>
        <v>124000</v>
      </c>
      <c r="N15" s="68">
        <f>K15-L15-M15</f>
        <v>0</v>
      </c>
      <c r="P15" s="68">
        <f>SUM(L15:O15)</f>
        <v>140000</v>
      </c>
      <c r="R15" s="68">
        <v>140000</v>
      </c>
      <c r="S15" s="68">
        <f t="shared" si="0"/>
        <v>16000</v>
      </c>
      <c r="T15" s="68">
        <f t="shared" si="0"/>
        <v>124000</v>
      </c>
      <c r="U15" s="68">
        <f t="shared" si="0"/>
        <v>0</v>
      </c>
      <c r="V15" s="68">
        <f t="shared" si="0"/>
        <v>0</v>
      </c>
      <c r="W15" s="68">
        <f>SUM(S15:V15)</f>
        <v>140000</v>
      </c>
    </row>
    <row r="16" spans="1:23" x14ac:dyDescent="0.4">
      <c r="E16" s="342"/>
      <c r="F16" s="40"/>
    </row>
    <row r="17" spans="5:23" x14ac:dyDescent="0.4">
      <c r="E17" s="342"/>
      <c r="F17" s="40"/>
      <c r="K17" s="68">
        <v>30000</v>
      </c>
      <c r="L17" s="59">
        <f>L9</f>
        <v>113.43</v>
      </c>
      <c r="M17" s="59"/>
      <c r="N17" s="59"/>
      <c r="O17" s="59"/>
      <c r="P17" s="59">
        <f t="shared" ref="P17:P22" si="2">SUM(L17:O17)</f>
        <v>113.43</v>
      </c>
      <c r="R17" s="68">
        <v>30000</v>
      </c>
      <c r="S17" s="59">
        <f>S9</f>
        <v>120.02000000000001</v>
      </c>
      <c r="T17" s="59"/>
      <c r="U17" s="59"/>
      <c r="V17" s="59"/>
      <c r="W17" s="59">
        <f t="shared" ref="W17:W22" si="3">SUM(S17:V17)</f>
        <v>120.02000000000001</v>
      </c>
    </row>
    <row r="18" spans="5:23" x14ac:dyDescent="0.4">
      <c r="E18" s="342"/>
      <c r="F18" s="40"/>
      <c r="K18" s="68">
        <v>60000</v>
      </c>
      <c r="L18" s="59">
        <f>L17</f>
        <v>113.43</v>
      </c>
      <c r="M18" s="59">
        <f>M11*M$9</f>
        <v>254.32000000000002</v>
      </c>
      <c r="N18" s="59"/>
      <c r="O18" s="59"/>
      <c r="P18" s="59">
        <f t="shared" si="2"/>
        <v>367.75</v>
      </c>
      <c r="R18" s="68">
        <v>60000</v>
      </c>
      <c r="S18" s="59">
        <f>S17</f>
        <v>120.02000000000001</v>
      </c>
      <c r="T18" s="59">
        <f>T11*T$9</f>
        <v>269.28000000000003</v>
      </c>
      <c r="U18" s="59"/>
      <c r="V18" s="59"/>
      <c r="W18" s="59">
        <f t="shared" si="3"/>
        <v>389.30000000000007</v>
      </c>
    </row>
    <row r="19" spans="5:23" x14ac:dyDescent="0.4">
      <c r="E19" s="342"/>
      <c r="F19" s="40"/>
      <c r="K19" s="68">
        <v>80000</v>
      </c>
      <c r="L19" s="59">
        <f t="shared" ref="L19:L22" si="4">L18</f>
        <v>113.43</v>
      </c>
      <c r="M19" s="59">
        <f>M12*M$9</f>
        <v>369.92</v>
      </c>
      <c r="N19" s="59">
        <f>N12*N$9</f>
        <v>0</v>
      </c>
      <c r="O19" s="59"/>
      <c r="P19" s="59">
        <f t="shared" si="2"/>
        <v>483.35</v>
      </c>
      <c r="R19" s="68">
        <v>80000</v>
      </c>
      <c r="S19" s="59">
        <f t="shared" ref="S19:S22" si="5">S18</f>
        <v>120.02000000000001</v>
      </c>
      <c r="T19" s="59">
        <f>T12*T$9</f>
        <v>391.68</v>
      </c>
      <c r="U19" s="59">
        <f>U12*U$9</f>
        <v>0</v>
      </c>
      <c r="V19" s="59"/>
      <c r="W19" s="59">
        <f t="shared" si="3"/>
        <v>511.70000000000005</v>
      </c>
    </row>
    <row r="20" spans="5:23" x14ac:dyDescent="0.4">
      <c r="E20" s="342"/>
      <c r="F20" s="40"/>
      <c r="K20" s="68">
        <v>100000</v>
      </c>
      <c r="L20" s="59">
        <f t="shared" si="4"/>
        <v>113.43</v>
      </c>
      <c r="M20" s="59">
        <f>M13*M$9</f>
        <v>485.52000000000004</v>
      </c>
      <c r="N20" s="59">
        <f>N13*N$9</f>
        <v>0</v>
      </c>
      <c r="O20" s="59"/>
      <c r="P20" s="59">
        <f t="shared" si="2"/>
        <v>598.95000000000005</v>
      </c>
      <c r="R20" s="68">
        <v>100000</v>
      </c>
      <c r="S20" s="59">
        <f t="shared" si="5"/>
        <v>120.02000000000001</v>
      </c>
      <c r="T20" s="59">
        <f>T13*T$9</f>
        <v>514.08000000000004</v>
      </c>
      <c r="U20" s="59">
        <f>U13*U$9</f>
        <v>0</v>
      </c>
      <c r="V20" s="59"/>
      <c r="W20" s="59">
        <f t="shared" si="3"/>
        <v>634.1</v>
      </c>
    </row>
    <row r="21" spans="5:23" x14ac:dyDescent="0.4">
      <c r="E21" s="342"/>
      <c r="F21" s="40"/>
      <c r="K21" s="68">
        <v>120000</v>
      </c>
      <c r="L21" s="59">
        <f t="shared" si="4"/>
        <v>113.43</v>
      </c>
      <c r="M21" s="59">
        <f>M14*M$9</f>
        <v>601.12</v>
      </c>
      <c r="N21" s="59">
        <f>N14*N$9</f>
        <v>0</v>
      </c>
      <c r="O21" s="59"/>
      <c r="P21" s="59">
        <f t="shared" si="2"/>
        <v>714.55</v>
      </c>
      <c r="R21" s="68">
        <v>120000</v>
      </c>
      <c r="S21" s="59">
        <f t="shared" si="5"/>
        <v>120.02000000000001</v>
      </c>
      <c r="T21" s="59">
        <f>T14*T$9</f>
        <v>636.48</v>
      </c>
      <c r="U21" s="59">
        <f>U14*U$9</f>
        <v>0</v>
      </c>
      <c r="V21" s="59"/>
      <c r="W21" s="59">
        <f t="shared" si="3"/>
        <v>756.5</v>
      </c>
    </row>
    <row r="22" spans="5:23" x14ac:dyDescent="0.4">
      <c r="E22" s="342"/>
      <c r="F22" s="40"/>
      <c r="K22" s="68">
        <v>140000</v>
      </c>
      <c r="L22" s="59">
        <f t="shared" si="4"/>
        <v>113.43</v>
      </c>
      <c r="M22" s="59">
        <f>M15*M$9</f>
        <v>716.72</v>
      </c>
      <c r="N22" s="59">
        <f>N15*N$9</f>
        <v>0</v>
      </c>
      <c r="O22" s="59"/>
      <c r="P22" s="59">
        <f t="shared" si="2"/>
        <v>830.15000000000009</v>
      </c>
      <c r="R22" s="68">
        <v>140000</v>
      </c>
      <c r="S22" s="59">
        <f t="shared" si="5"/>
        <v>120.02000000000001</v>
      </c>
      <c r="T22" s="59">
        <f>T15*T$9</f>
        <v>758.88000000000011</v>
      </c>
      <c r="U22" s="59">
        <f>U15*U$9</f>
        <v>0</v>
      </c>
      <c r="V22" s="59"/>
      <c r="W22" s="59">
        <f t="shared" si="3"/>
        <v>878.90000000000009</v>
      </c>
    </row>
    <row r="23" spans="5:23" x14ac:dyDescent="0.4">
      <c r="E23" s="342"/>
      <c r="F23" s="40"/>
    </row>
  </sheetData>
  <mergeCells count="2">
    <mergeCell ref="K7:P7"/>
    <mergeCell ref="R7:W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F4E8B-9E38-4A9B-AA3B-786DA5AD68A0}">
  <dimension ref="A3:W23"/>
  <sheetViews>
    <sheetView workbookViewId="0">
      <selection activeCell="C2" sqref="C2"/>
    </sheetView>
  </sheetViews>
  <sheetFormatPr defaultRowHeight="15" x14ac:dyDescent="0.4"/>
  <cols>
    <col min="3" max="3" width="4.77734375" style="40" customWidth="1"/>
    <col min="4" max="5" width="10.77734375" style="40" customWidth="1"/>
    <col min="6" max="6" width="1.77734375" style="214" customWidth="1"/>
    <col min="7" max="7" width="10.77734375" style="40" customWidth="1"/>
    <col min="8" max="8" width="1.21875" style="40" customWidth="1"/>
    <col min="9" max="9" width="10.77734375" style="214" customWidth="1"/>
    <col min="10" max="10" width="10.77734375" style="40" customWidth="1"/>
    <col min="11" max="11" width="11.44140625" style="68" bestFit="1" customWidth="1"/>
    <col min="12" max="14" width="10.44140625" style="68" bestFit="1" customWidth="1"/>
    <col min="15" max="15" width="11.44140625" style="68" bestFit="1" customWidth="1"/>
    <col min="18" max="18" width="11.44140625" style="68" bestFit="1" customWidth="1"/>
    <col min="19" max="21" width="10.44140625" style="68" bestFit="1" customWidth="1"/>
    <col min="22" max="22" width="11.44140625" style="68" bestFit="1" customWidth="1"/>
  </cols>
  <sheetData>
    <row r="3" spans="1:23" x14ac:dyDescent="0.4">
      <c r="C3"/>
      <c r="D3"/>
      <c r="E3"/>
      <c r="F3"/>
      <c r="G3"/>
      <c r="H3"/>
      <c r="I3"/>
      <c r="J3"/>
    </row>
    <row r="4" spans="1:23" x14ac:dyDescent="0.4">
      <c r="C4"/>
      <c r="D4"/>
      <c r="E4"/>
      <c r="F4"/>
      <c r="G4"/>
      <c r="H4"/>
      <c r="I4"/>
      <c r="J4"/>
    </row>
    <row r="5" spans="1:23" x14ac:dyDescent="0.4">
      <c r="C5"/>
      <c r="D5"/>
      <c r="E5"/>
      <c r="F5"/>
      <c r="G5"/>
      <c r="H5"/>
      <c r="I5"/>
      <c r="J5"/>
    </row>
    <row r="7" spans="1:23" x14ac:dyDescent="0.4">
      <c r="C7" s="339"/>
      <c r="I7" s="340"/>
      <c r="K7" s="522" t="s">
        <v>456</v>
      </c>
      <c r="L7" s="522"/>
      <c r="M7" s="522"/>
      <c r="N7" s="522"/>
      <c r="O7" s="522"/>
      <c r="P7" s="522"/>
      <c r="R7" s="522" t="s">
        <v>456</v>
      </c>
      <c r="S7" s="522"/>
      <c r="T7" s="522"/>
      <c r="U7" s="522"/>
      <c r="V7" s="522"/>
      <c r="W7" s="522"/>
    </row>
    <row r="8" spans="1:23" ht="15.75" x14ac:dyDescent="0.5">
      <c r="A8" s="40" t="s">
        <v>233</v>
      </c>
      <c r="B8" s="60"/>
      <c r="D8" s="219"/>
      <c r="E8" s="220"/>
      <c r="F8" s="13"/>
      <c r="H8" s="60"/>
      <c r="I8" s="40"/>
      <c r="J8" s="219"/>
      <c r="L8" s="60">
        <v>30000</v>
      </c>
      <c r="M8" s="60">
        <v>170000</v>
      </c>
      <c r="N8" s="60">
        <v>400000</v>
      </c>
      <c r="O8" s="60">
        <f>SUM(K8:N8)</f>
        <v>600000</v>
      </c>
      <c r="S8" s="60">
        <v>30000</v>
      </c>
      <c r="T8" s="60">
        <v>170000</v>
      </c>
      <c r="U8" s="60">
        <v>400000</v>
      </c>
      <c r="V8" s="60">
        <f>SUM(R8:U8)</f>
        <v>600000</v>
      </c>
    </row>
    <row r="9" spans="1:23" ht="15.75" x14ac:dyDescent="0.5">
      <c r="A9" s="40" t="s">
        <v>48</v>
      </c>
      <c r="B9" s="60">
        <v>30000</v>
      </c>
      <c r="C9" s="40" t="s">
        <v>125</v>
      </c>
      <c r="D9" s="221">
        <f>'Table C'!F44</f>
        <v>223.99</v>
      </c>
      <c r="E9" s="220" t="s">
        <v>145</v>
      </c>
      <c r="F9" s="13"/>
      <c r="G9" s="221">
        <f>'Table C'!L44</f>
        <v>237</v>
      </c>
      <c r="H9" s="220" t="s">
        <v>145</v>
      </c>
      <c r="I9" s="40"/>
      <c r="L9" s="221">
        <f>D9</f>
        <v>223.99</v>
      </c>
      <c r="M9" s="222">
        <f>D10</f>
        <v>5.7800000000000004E-3</v>
      </c>
      <c r="N9" s="222">
        <f>D11</f>
        <v>5.4099999999999999E-3</v>
      </c>
      <c r="O9" s="222">
        <f>D12</f>
        <v>4.0099999999999997E-3</v>
      </c>
      <c r="S9" s="221">
        <f>G9</f>
        <v>237</v>
      </c>
      <c r="T9" s="222">
        <f>G10</f>
        <v>6.1200000000000004E-3</v>
      </c>
      <c r="U9" s="222">
        <f>G11</f>
        <v>5.7200000000000003E-3</v>
      </c>
      <c r="V9" s="222">
        <f>G12</f>
        <v>4.2399999999999998E-3</v>
      </c>
    </row>
    <row r="10" spans="1:23" ht="15.75" x14ac:dyDescent="0.5">
      <c r="A10" s="40" t="s">
        <v>49</v>
      </c>
      <c r="B10" s="60">
        <v>170000</v>
      </c>
      <c r="C10" s="40" t="s">
        <v>125</v>
      </c>
      <c r="D10" s="222">
        <f>'Table C'!F45</f>
        <v>5.7800000000000004E-3</v>
      </c>
      <c r="E10" s="220" t="s">
        <v>144</v>
      </c>
      <c r="F10" s="13"/>
      <c r="G10" s="222">
        <f>'Table C'!L45</f>
        <v>6.1200000000000004E-3</v>
      </c>
      <c r="H10" s="220" t="s">
        <v>144</v>
      </c>
      <c r="I10" s="40"/>
      <c r="K10" s="68">
        <v>30000</v>
      </c>
      <c r="L10" s="68">
        <v>16000</v>
      </c>
      <c r="M10" s="68">
        <f>K10-L10</f>
        <v>14000</v>
      </c>
      <c r="R10" s="68">
        <v>30000</v>
      </c>
      <c r="S10" s="68">
        <f t="shared" ref="S10:V15" si="0">L10</f>
        <v>16000</v>
      </c>
      <c r="T10" s="68">
        <f t="shared" si="0"/>
        <v>14000</v>
      </c>
      <c r="U10" s="68">
        <f t="shared" si="0"/>
        <v>0</v>
      </c>
      <c r="V10" s="68">
        <f t="shared" si="0"/>
        <v>0</v>
      </c>
    </row>
    <row r="11" spans="1:23" ht="15.75" x14ac:dyDescent="0.5">
      <c r="A11" s="40" t="s">
        <v>49</v>
      </c>
      <c r="B11" s="60">
        <v>400000</v>
      </c>
      <c r="C11" s="40" t="s">
        <v>125</v>
      </c>
      <c r="D11" s="222">
        <f>'Table C'!F46</f>
        <v>5.4099999999999999E-3</v>
      </c>
      <c r="E11" s="220" t="s">
        <v>144</v>
      </c>
      <c r="F11" s="13"/>
      <c r="G11" s="222">
        <f>'Table C'!L46</f>
        <v>5.7200000000000003E-3</v>
      </c>
      <c r="H11" s="220" t="s">
        <v>144</v>
      </c>
      <c r="I11" s="40"/>
      <c r="K11" s="68">
        <v>60000</v>
      </c>
      <c r="L11" s="68">
        <v>30000</v>
      </c>
      <c r="M11" s="60">
        <f>K11-L11</f>
        <v>30000</v>
      </c>
      <c r="P11" s="68">
        <f>SUM(L11:O11)</f>
        <v>60000</v>
      </c>
      <c r="R11" s="68">
        <v>60000</v>
      </c>
      <c r="S11" s="68">
        <f t="shared" si="0"/>
        <v>30000</v>
      </c>
      <c r="T11" s="68">
        <f t="shared" si="0"/>
        <v>30000</v>
      </c>
      <c r="U11" s="68">
        <f t="shared" si="0"/>
        <v>0</v>
      </c>
      <c r="V11" s="68">
        <f t="shared" si="0"/>
        <v>0</v>
      </c>
      <c r="W11" s="68">
        <f>SUM(S11:V11)</f>
        <v>60000</v>
      </c>
    </row>
    <row r="12" spans="1:23" ht="15.75" x14ac:dyDescent="0.5">
      <c r="A12" s="40" t="s">
        <v>76</v>
      </c>
      <c r="B12" s="60">
        <f>SUM(B8:B11)</f>
        <v>600000</v>
      </c>
      <c r="C12" s="40" t="s">
        <v>125</v>
      </c>
      <c r="D12" s="222">
        <f>'Table C'!F47</f>
        <v>4.0099999999999997E-3</v>
      </c>
      <c r="E12" s="220" t="s">
        <v>144</v>
      </c>
      <c r="F12" s="13"/>
      <c r="G12" s="222">
        <f>'Table C'!L47</f>
        <v>4.2399999999999998E-3</v>
      </c>
      <c r="H12" s="220" t="s">
        <v>144</v>
      </c>
      <c r="I12" s="40"/>
      <c r="K12" s="68">
        <v>80000</v>
      </c>
      <c r="L12" s="68">
        <v>16000</v>
      </c>
      <c r="M12" s="60">
        <f t="shared" ref="M12:M15" si="1">K12-L12</f>
        <v>64000</v>
      </c>
      <c r="N12" s="68">
        <f>K12-L12-M12</f>
        <v>0</v>
      </c>
      <c r="P12" s="68">
        <f>SUM(L12:O12)</f>
        <v>80000</v>
      </c>
      <c r="R12" s="68">
        <v>80000</v>
      </c>
      <c r="S12" s="68">
        <f t="shared" si="0"/>
        <v>16000</v>
      </c>
      <c r="T12" s="68">
        <f t="shared" si="0"/>
        <v>64000</v>
      </c>
      <c r="U12" s="68">
        <f t="shared" si="0"/>
        <v>0</v>
      </c>
      <c r="V12" s="68">
        <f t="shared" si="0"/>
        <v>0</v>
      </c>
      <c r="W12" s="68">
        <f>SUM(S12:V12)</f>
        <v>80000</v>
      </c>
    </row>
    <row r="13" spans="1:23" x14ac:dyDescent="0.4">
      <c r="G13" s="222"/>
      <c r="K13" s="68">
        <v>100000</v>
      </c>
      <c r="L13" s="68">
        <v>16000</v>
      </c>
      <c r="M13" s="60">
        <f t="shared" si="1"/>
        <v>84000</v>
      </c>
      <c r="N13" s="68">
        <f>K13-L13-M13</f>
        <v>0</v>
      </c>
      <c r="P13" s="68">
        <f>SUM(L13:O13)</f>
        <v>100000</v>
      </c>
      <c r="R13" s="68">
        <v>100000</v>
      </c>
      <c r="S13" s="68">
        <f t="shared" si="0"/>
        <v>16000</v>
      </c>
      <c r="T13" s="68">
        <f t="shared" si="0"/>
        <v>84000</v>
      </c>
      <c r="U13" s="68">
        <f t="shared" si="0"/>
        <v>0</v>
      </c>
      <c r="V13" s="68">
        <f t="shared" si="0"/>
        <v>0</v>
      </c>
      <c r="W13" s="68">
        <f>SUM(S13:V13)</f>
        <v>100000</v>
      </c>
    </row>
    <row r="14" spans="1:23" x14ac:dyDescent="0.4">
      <c r="E14" s="342"/>
      <c r="F14" s="40"/>
      <c r="K14" s="68">
        <v>120000</v>
      </c>
      <c r="L14" s="68">
        <v>16000</v>
      </c>
      <c r="M14" s="60">
        <f t="shared" si="1"/>
        <v>104000</v>
      </c>
      <c r="N14" s="68">
        <f>K14-L14-M14</f>
        <v>0</v>
      </c>
      <c r="P14" s="68">
        <f>SUM(L14:O14)</f>
        <v>120000</v>
      </c>
      <c r="R14" s="68">
        <v>120000</v>
      </c>
      <c r="S14" s="68">
        <f t="shared" si="0"/>
        <v>16000</v>
      </c>
      <c r="T14" s="68">
        <f t="shared" si="0"/>
        <v>104000</v>
      </c>
      <c r="U14" s="68">
        <f t="shared" si="0"/>
        <v>0</v>
      </c>
      <c r="V14" s="68">
        <f t="shared" si="0"/>
        <v>0</v>
      </c>
      <c r="W14" s="68">
        <f>SUM(S14:V14)</f>
        <v>120000</v>
      </c>
    </row>
    <row r="15" spans="1:23" x14ac:dyDescent="0.4">
      <c r="E15" s="342"/>
      <c r="F15" s="40"/>
      <c r="K15" s="68">
        <v>140000</v>
      </c>
      <c r="L15" s="68">
        <v>16000</v>
      </c>
      <c r="M15" s="60">
        <f t="shared" si="1"/>
        <v>124000</v>
      </c>
      <c r="N15" s="68">
        <f>K15-L15-M15</f>
        <v>0</v>
      </c>
      <c r="P15" s="68">
        <f>SUM(L15:O15)</f>
        <v>140000</v>
      </c>
      <c r="R15" s="68">
        <v>140000</v>
      </c>
      <c r="S15" s="68">
        <f t="shared" si="0"/>
        <v>16000</v>
      </c>
      <c r="T15" s="68">
        <f t="shared" si="0"/>
        <v>124000</v>
      </c>
      <c r="U15" s="68">
        <f t="shared" si="0"/>
        <v>0</v>
      </c>
      <c r="V15" s="68">
        <f t="shared" si="0"/>
        <v>0</v>
      </c>
      <c r="W15" s="68">
        <f>SUM(S15:V15)</f>
        <v>140000</v>
      </c>
    </row>
    <row r="16" spans="1:23" x14ac:dyDescent="0.4">
      <c r="E16" s="342"/>
      <c r="F16" s="40"/>
    </row>
    <row r="17" spans="5:23" x14ac:dyDescent="0.4">
      <c r="E17" s="342"/>
      <c r="F17" s="40"/>
      <c r="K17" s="68">
        <v>30000</v>
      </c>
      <c r="L17" s="59">
        <f>L9</f>
        <v>223.99</v>
      </c>
      <c r="M17" s="59"/>
      <c r="N17" s="59"/>
      <c r="O17" s="59"/>
      <c r="P17" s="59">
        <f t="shared" ref="P17:P22" si="2">SUM(L17:O17)</f>
        <v>223.99</v>
      </c>
      <c r="R17" s="68">
        <v>30000</v>
      </c>
      <c r="S17" s="59">
        <f>S9</f>
        <v>237</v>
      </c>
      <c r="T17" s="59"/>
      <c r="U17" s="59"/>
      <c r="V17" s="59"/>
      <c r="W17" s="59">
        <f t="shared" ref="W17:W22" si="3">SUM(S17:V17)</f>
        <v>237</v>
      </c>
    </row>
    <row r="18" spans="5:23" x14ac:dyDescent="0.4">
      <c r="E18" s="342"/>
      <c r="F18" s="40"/>
      <c r="K18" s="68">
        <v>60000</v>
      </c>
      <c r="L18" s="59">
        <f>L17</f>
        <v>223.99</v>
      </c>
      <c r="M18" s="59">
        <f>M11*M$9</f>
        <v>173.4</v>
      </c>
      <c r="N18" s="59"/>
      <c r="O18" s="59"/>
      <c r="P18" s="59">
        <f t="shared" si="2"/>
        <v>397.39</v>
      </c>
      <c r="R18" s="68">
        <v>60000</v>
      </c>
      <c r="S18" s="59">
        <f>S17</f>
        <v>237</v>
      </c>
      <c r="T18" s="59">
        <f>T11*T$9</f>
        <v>183.60000000000002</v>
      </c>
      <c r="U18" s="59"/>
      <c r="V18" s="59"/>
      <c r="W18" s="59">
        <f t="shared" si="3"/>
        <v>420.6</v>
      </c>
    </row>
    <row r="19" spans="5:23" x14ac:dyDescent="0.4">
      <c r="E19" s="342"/>
      <c r="F19" s="40"/>
      <c r="K19" s="68">
        <v>80000</v>
      </c>
      <c r="L19" s="59">
        <f t="shared" ref="L19:L22" si="4">L18</f>
        <v>223.99</v>
      </c>
      <c r="M19" s="59">
        <f>M12*M$9</f>
        <v>369.92</v>
      </c>
      <c r="N19" s="59">
        <f>N12*N$9</f>
        <v>0</v>
      </c>
      <c r="O19" s="59"/>
      <c r="P19" s="59">
        <f t="shared" si="2"/>
        <v>593.91000000000008</v>
      </c>
      <c r="R19" s="68">
        <v>80000</v>
      </c>
      <c r="S19" s="59">
        <f t="shared" ref="S19:S22" si="5">S18</f>
        <v>237</v>
      </c>
      <c r="T19" s="59">
        <f>T12*T$9</f>
        <v>391.68</v>
      </c>
      <c r="U19" s="59">
        <f>U12*U$9</f>
        <v>0</v>
      </c>
      <c r="V19" s="59"/>
      <c r="W19" s="59">
        <f t="shared" si="3"/>
        <v>628.68000000000006</v>
      </c>
    </row>
    <row r="20" spans="5:23" x14ac:dyDescent="0.4">
      <c r="E20" s="342"/>
      <c r="F20" s="40"/>
      <c r="K20" s="68">
        <v>100000</v>
      </c>
      <c r="L20" s="59">
        <f t="shared" si="4"/>
        <v>223.99</v>
      </c>
      <c r="M20" s="59">
        <f>M13*M$9</f>
        <v>485.52000000000004</v>
      </c>
      <c r="N20" s="59">
        <f>N13*N$9</f>
        <v>0</v>
      </c>
      <c r="O20" s="59"/>
      <c r="P20" s="59">
        <f t="shared" si="2"/>
        <v>709.51</v>
      </c>
      <c r="R20" s="68">
        <v>100000</v>
      </c>
      <c r="S20" s="59">
        <f t="shared" si="5"/>
        <v>237</v>
      </c>
      <c r="T20" s="59">
        <f>T13*T$9</f>
        <v>514.08000000000004</v>
      </c>
      <c r="U20" s="59">
        <f>U13*U$9</f>
        <v>0</v>
      </c>
      <c r="V20" s="59"/>
      <c r="W20" s="59">
        <f t="shared" si="3"/>
        <v>751.08</v>
      </c>
    </row>
    <row r="21" spans="5:23" x14ac:dyDescent="0.4">
      <c r="E21" s="342"/>
      <c r="F21" s="40"/>
      <c r="K21" s="68">
        <v>120000</v>
      </c>
      <c r="L21" s="59">
        <f t="shared" si="4"/>
        <v>223.99</v>
      </c>
      <c r="M21" s="59">
        <f>M14*M$9</f>
        <v>601.12</v>
      </c>
      <c r="N21" s="59">
        <f>N14*N$9</f>
        <v>0</v>
      </c>
      <c r="O21" s="59"/>
      <c r="P21" s="59">
        <f t="shared" si="2"/>
        <v>825.11</v>
      </c>
      <c r="R21" s="68">
        <v>120000</v>
      </c>
      <c r="S21" s="59">
        <f t="shared" si="5"/>
        <v>237</v>
      </c>
      <c r="T21" s="59">
        <f>T14*T$9</f>
        <v>636.48</v>
      </c>
      <c r="U21" s="59">
        <f>U14*U$9</f>
        <v>0</v>
      </c>
      <c r="V21" s="59"/>
      <c r="W21" s="59">
        <f t="shared" si="3"/>
        <v>873.48</v>
      </c>
    </row>
    <row r="22" spans="5:23" x14ac:dyDescent="0.4">
      <c r="E22" s="342"/>
      <c r="F22" s="40"/>
      <c r="K22" s="68">
        <v>140000</v>
      </c>
      <c r="L22" s="59">
        <f t="shared" si="4"/>
        <v>223.99</v>
      </c>
      <c r="M22" s="59">
        <f>M15*M$9</f>
        <v>716.72</v>
      </c>
      <c r="N22" s="59">
        <f>N15*N$9</f>
        <v>0</v>
      </c>
      <c r="O22" s="59"/>
      <c r="P22" s="59">
        <f t="shared" si="2"/>
        <v>940.71</v>
      </c>
      <c r="R22" s="68">
        <v>140000</v>
      </c>
      <c r="S22" s="59">
        <f t="shared" si="5"/>
        <v>237</v>
      </c>
      <c r="T22" s="59">
        <f>T15*T$9</f>
        <v>758.88000000000011</v>
      </c>
      <c r="U22" s="59">
        <f>U15*U$9</f>
        <v>0</v>
      </c>
      <c r="V22" s="59"/>
      <c r="W22" s="59">
        <f t="shared" si="3"/>
        <v>995.88000000000011</v>
      </c>
    </row>
    <row r="23" spans="5:23" x14ac:dyDescent="0.4">
      <c r="E23" s="342"/>
      <c r="F23" s="40"/>
    </row>
  </sheetData>
  <mergeCells count="2">
    <mergeCell ref="K7:P7"/>
    <mergeCell ref="R7:W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DE454-1642-46AA-AF05-7432DD113890}">
  <dimension ref="A3:W23"/>
  <sheetViews>
    <sheetView topLeftCell="J1" workbookViewId="0">
      <selection activeCell="M16" sqref="M16"/>
    </sheetView>
  </sheetViews>
  <sheetFormatPr defaultRowHeight="15" x14ac:dyDescent="0.4"/>
  <cols>
    <col min="3" max="3" width="4.77734375" style="40" customWidth="1"/>
    <col min="4" max="5" width="10.77734375" style="40" customWidth="1"/>
    <col min="6" max="6" width="1.77734375" style="214" customWidth="1"/>
    <col min="7" max="7" width="10.77734375" style="40" customWidth="1"/>
    <col min="8" max="8" width="1.21875" style="40" customWidth="1"/>
    <col min="9" max="9" width="10.77734375" style="214" customWidth="1"/>
    <col min="10" max="10" width="10.77734375" style="40" customWidth="1"/>
    <col min="11" max="11" width="11.44140625" style="68" bestFit="1" customWidth="1"/>
    <col min="12" max="14" width="10.44140625" style="68" bestFit="1" customWidth="1"/>
    <col min="15" max="15" width="11.44140625" style="68" bestFit="1" customWidth="1"/>
    <col min="18" max="18" width="11.44140625" style="68" bestFit="1" customWidth="1"/>
    <col min="19" max="21" width="10.44140625" style="68" bestFit="1" customWidth="1"/>
    <col min="22" max="22" width="11.44140625" style="68" bestFit="1" customWidth="1"/>
  </cols>
  <sheetData>
    <row r="3" spans="1:23" x14ac:dyDescent="0.4">
      <c r="C3"/>
      <c r="D3"/>
      <c r="E3"/>
      <c r="F3"/>
      <c r="G3"/>
      <c r="H3"/>
      <c r="I3"/>
      <c r="J3"/>
    </row>
    <row r="4" spans="1:23" x14ac:dyDescent="0.4">
      <c r="C4"/>
      <c r="D4"/>
      <c r="E4"/>
      <c r="F4"/>
      <c r="G4"/>
      <c r="H4"/>
      <c r="I4"/>
      <c r="J4"/>
    </row>
    <row r="5" spans="1:23" x14ac:dyDescent="0.4">
      <c r="C5"/>
      <c r="D5"/>
      <c r="E5"/>
      <c r="F5"/>
      <c r="G5"/>
      <c r="H5"/>
      <c r="I5"/>
      <c r="J5"/>
    </row>
    <row r="7" spans="1:23" x14ac:dyDescent="0.4">
      <c r="C7" s="339"/>
      <c r="I7" s="340"/>
      <c r="K7" s="522" t="s">
        <v>456</v>
      </c>
      <c r="L7" s="522"/>
      <c r="M7" s="522"/>
      <c r="N7" s="522"/>
      <c r="O7" s="522"/>
      <c r="P7" s="522"/>
      <c r="R7" s="522" t="s">
        <v>456</v>
      </c>
      <c r="S7" s="522"/>
      <c r="T7" s="522"/>
      <c r="U7" s="522"/>
      <c r="V7" s="522"/>
      <c r="W7" s="522"/>
    </row>
    <row r="8" spans="1:23" ht="15.75" x14ac:dyDescent="0.5">
      <c r="A8" s="40" t="s">
        <v>234</v>
      </c>
      <c r="B8" s="60"/>
      <c r="D8" s="219"/>
      <c r="E8" s="220"/>
      <c r="F8" s="13"/>
      <c r="H8" s="60"/>
      <c r="I8" s="40"/>
      <c r="J8" s="219"/>
      <c r="L8" s="60">
        <v>50000</v>
      </c>
      <c r="M8" s="60">
        <v>150000</v>
      </c>
      <c r="N8" s="60">
        <v>400000</v>
      </c>
      <c r="O8" s="60">
        <f>SUM(K8:N8)</f>
        <v>600000</v>
      </c>
      <c r="S8" s="60">
        <v>50000</v>
      </c>
      <c r="T8" s="60">
        <v>150000</v>
      </c>
      <c r="U8" s="60">
        <v>400000</v>
      </c>
      <c r="V8" s="60">
        <f>SUM(R8:U8)</f>
        <v>600000</v>
      </c>
    </row>
    <row r="9" spans="1:23" ht="15.75" x14ac:dyDescent="0.5">
      <c r="A9" s="40" t="s">
        <v>48</v>
      </c>
      <c r="B9" s="60">
        <v>50000</v>
      </c>
      <c r="C9" s="40" t="s">
        <v>125</v>
      </c>
      <c r="D9" s="221">
        <f>'Table C'!F50</f>
        <v>346.1</v>
      </c>
      <c r="E9" s="220" t="s">
        <v>145</v>
      </c>
      <c r="F9" s="13"/>
      <c r="G9" s="221">
        <f>'Table C'!L50</f>
        <v>366.21000000000004</v>
      </c>
      <c r="H9" s="220" t="s">
        <v>145</v>
      </c>
      <c r="I9" s="40"/>
      <c r="L9" s="221">
        <f>D9</f>
        <v>346.1</v>
      </c>
      <c r="M9" s="222">
        <f>D10</f>
        <v>5.7800000000000004E-3</v>
      </c>
      <c r="N9" s="222">
        <f>D11</f>
        <v>5.4099999999999999E-3</v>
      </c>
      <c r="O9" s="222">
        <f>D12</f>
        <v>4.0099999999999997E-3</v>
      </c>
      <c r="S9" s="221">
        <f>G9</f>
        <v>366.21000000000004</v>
      </c>
      <c r="T9" s="222">
        <f>G10</f>
        <v>6.1200000000000004E-3</v>
      </c>
      <c r="U9" s="222">
        <f>G11</f>
        <v>5.7200000000000003E-3</v>
      </c>
      <c r="V9" s="222">
        <f>G12</f>
        <v>4.2399999999999998E-3</v>
      </c>
    </row>
    <row r="10" spans="1:23" ht="15.75" x14ac:dyDescent="0.5">
      <c r="A10" s="40" t="s">
        <v>49</v>
      </c>
      <c r="B10" s="60">
        <v>150000</v>
      </c>
      <c r="C10" s="40" t="s">
        <v>125</v>
      </c>
      <c r="D10" s="222">
        <f>'Table C'!F51</f>
        <v>5.7800000000000004E-3</v>
      </c>
      <c r="E10" s="220" t="s">
        <v>144</v>
      </c>
      <c r="F10" s="13"/>
      <c r="G10" s="222">
        <f>'Table C'!L51</f>
        <v>6.1200000000000004E-3</v>
      </c>
      <c r="H10" s="220" t="s">
        <v>144</v>
      </c>
      <c r="I10" s="40"/>
      <c r="K10" s="68">
        <v>60000</v>
      </c>
      <c r="L10" s="68">
        <v>50000</v>
      </c>
      <c r="M10" s="60">
        <f>K10-L10</f>
        <v>10000</v>
      </c>
      <c r="P10" s="68">
        <f t="shared" ref="P10:P15" si="0">SUM(L10:O10)</f>
        <v>60000</v>
      </c>
      <c r="R10" s="68">
        <v>60000</v>
      </c>
      <c r="S10" s="68">
        <f t="shared" ref="S10:V13" si="1">L10</f>
        <v>50000</v>
      </c>
      <c r="T10" s="68">
        <f t="shared" si="1"/>
        <v>10000</v>
      </c>
      <c r="U10" s="68">
        <f t="shared" si="1"/>
        <v>0</v>
      </c>
      <c r="V10" s="68">
        <f t="shared" si="1"/>
        <v>0</v>
      </c>
      <c r="W10" s="68">
        <f t="shared" ref="W10:W15" si="2">SUM(S10:V10)</f>
        <v>60000</v>
      </c>
    </row>
    <row r="11" spans="1:23" ht="15.75" x14ac:dyDescent="0.5">
      <c r="A11" s="40" t="s">
        <v>49</v>
      </c>
      <c r="B11" s="60">
        <v>400000</v>
      </c>
      <c r="C11" s="40" t="s">
        <v>125</v>
      </c>
      <c r="D11" s="222">
        <f>'Table C'!F52</f>
        <v>5.4099999999999999E-3</v>
      </c>
      <c r="E11" s="220" t="s">
        <v>144</v>
      </c>
      <c r="F11" s="13"/>
      <c r="G11" s="222">
        <f>'Table C'!L52</f>
        <v>5.7200000000000003E-3</v>
      </c>
      <c r="H11" s="220" t="s">
        <v>144</v>
      </c>
      <c r="I11" s="40"/>
      <c r="K11" s="68">
        <v>80000</v>
      </c>
      <c r="L11" s="68">
        <v>50000</v>
      </c>
      <c r="M11" s="60">
        <f t="shared" ref="M11:M13" si="3">K11-L11</f>
        <v>30000</v>
      </c>
      <c r="N11" s="68">
        <f>K11-L11-M11</f>
        <v>0</v>
      </c>
      <c r="P11" s="68">
        <f t="shared" si="0"/>
        <v>80000</v>
      </c>
      <c r="R11" s="68">
        <v>80000</v>
      </c>
      <c r="S11" s="68">
        <f t="shared" si="1"/>
        <v>50000</v>
      </c>
      <c r="T11" s="68">
        <f t="shared" si="1"/>
        <v>30000</v>
      </c>
      <c r="U11" s="68">
        <f t="shared" si="1"/>
        <v>0</v>
      </c>
      <c r="V11" s="68">
        <f t="shared" si="1"/>
        <v>0</v>
      </c>
      <c r="W11" s="68">
        <f t="shared" si="2"/>
        <v>80000</v>
      </c>
    </row>
    <row r="12" spans="1:23" ht="15.75" x14ac:dyDescent="0.5">
      <c r="A12" s="40" t="s">
        <v>76</v>
      </c>
      <c r="B12" s="60">
        <f>SUM(B8:B11)</f>
        <v>600000</v>
      </c>
      <c r="C12" s="40" t="s">
        <v>125</v>
      </c>
      <c r="D12" s="222">
        <f>'Table C'!F53</f>
        <v>4.0099999999999997E-3</v>
      </c>
      <c r="E12" s="220" t="s">
        <v>144</v>
      </c>
      <c r="F12" s="13"/>
      <c r="G12" s="222">
        <f>'Table C'!L53</f>
        <v>4.2399999999999998E-3</v>
      </c>
      <c r="H12" s="220" t="s">
        <v>144</v>
      </c>
      <c r="I12" s="40"/>
      <c r="K12" s="68">
        <v>100000</v>
      </c>
      <c r="L12" s="68">
        <v>50000</v>
      </c>
      <c r="M12" s="60">
        <f t="shared" si="3"/>
        <v>50000</v>
      </c>
      <c r="N12" s="68">
        <f>K12-L12-M12</f>
        <v>0</v>
      </c>
      <c r="P12" s="68">
        <f t="shared" si="0"/>
        <v>100000</v>
      </c>
      <c r="R12" s="68">
        <v>100000</v>
      </c>
      <c r="S12" s="68">
        <f t="shared" si="1"/>
        <v>50000</v>
      </c>
      <c r="T12" s="68">
        <f t="shared" si="1"/>
        <v>50000</v>
      </c>
      <c r="U12" s="68">
        <f t="shared" si="1"/>
        <v>0</v>
      </c>
      <c r="V12" s="68">
        <f t="shared" si="1"/>
        <v>0</v>
      </c>
      <c r="W12" s="68">
        <f t="shared" si="2"/>
        <v>100000</v>
      </c>
    </row>
    <row r="13" spans="1:23" x14ac:dyDescent="0.4">
      <c r="G13" s="222"/>
      <c r="K13" s="68">
        <v>120000</v>
      </c>
      <c r="L13" s="68">
        <v>50000</v>
      </c>
      <c r="M13" s="60">
        <f t="shared" si="3"/>
        <v>70000</v>
      </c>
      <c r="N13" s="68">
        <f>K13-L13-M13</f>
        <v>0</v>
      </c>
      <c r="P13" s="68">
        <f t="shared" si="0"/>
        <v>120000</v>
      </c>
      <c r="R13" s="68">
        <v>120000</v>
      </c>
      <c r="S13" s="68">
        <f t="shared" si="1"/>
        <v>50000</v>
      </c>
      <c r="T13" s="68">
        <f t="shared" si="1"/>
        <v>70000</v>
      </c>
      <c r="U13" s="68">
        <f t="shared" si="1"/>
        <v>0</v>
      </c>
      <c r="V13" s="68">
        <f t="shared" si="1"/>
        <v>0</v>
      </c>
      <c r="W13" s="68">
        <f t="shared" si="2"/>
        <v>120000</v>
      </c>
    </row>
    <row r="14" spans="1:23" x14ac:dyDescent="0.4">
      <c r="E14" s="342"/>
      <c r="F14" s="40"/>
      <c r="K14" s="68">
        <v>140000</v>
      </c>
      <c r="L14" s="68">
        <v>50000</v>
      </c>
      <c r="M14" s="60">
        <f t="shared" ref="M14" si="4">K14-L14</f>
        <v>90000</v>
      </c>
      <c r="N14" s="68">
        <f>K14-L14-M14</f>
        <v>0</v>
      </c>
      <c r="P14" s="68">
        <f t="shared" si="0"/>
        <v>140000</v>
      </c>
      <c r="R14" s="68">
        <v>120000</v>
      </c>
      <c r="S14" s="68">
        <f t="shared" ref="S14" si="5">L14</f>
        <v>50000</v>
      </c>
      <c r="T14" s="68">
        <f t="shared" ref="T14" si="6">M14</f>
        <v>90000</v>
      </c>
      <c r="U14" s="68">
        <f t="shared" ref="U14" si="7">N14</f>
        <v>0</v>
      </c>
      <c r="V14" s="68">
        <f t="shared" ref="V14" si="8">O14</f>
        <v>0</v>
      </c>
      <c r="W14" s="68">
        <f t="shared" si="2"/>
        <v>140000</v>
      </c>
    </row>
    <row r="15" spans="1:23" x14ac:dyDescent="0.4">
      <c r="E15" s="342"/>
      <c r="F15" s="40"/>
      <c r="K15" s="68">
        <v>220000</v>
      </c>
      <c r="L15" s="68">
        <v>50000</v>
      </c>
      <c r="M15" s="60">
        <v>150000</v>
      </c>
      <c r="N15" s="68">
        <f>K15-L15-M15</f>
        <v>20000</v>
      </c>
      <c r="P15" s="68">
        <f t="shared" si="0"/>
        <v>220000</v>
      </c>
      <c r="R15" s="68">
        <v>220000</v>
      </c>
      <c r="S15" s="68">
        <f t="shared" ref="S15" si="9">L15</f>
        <v>50000</v>
      </c>
      <c r="T15" s="68">
        <f t="shared" ref="T15" si="10">M15</f>
        <v>150000</v>
      </c>
      <c r="U15" s="68">
        <f t="shared" ref="U15" si="11">N15</f>
        <v>20000</v>
      </c>
      <c r="V15" s="68">
        <f t="shared" ref="V15" si="12">O15</f>
        <v>0</v>
      </c>
      <c r="W15" s="68">
        <f t="shared" si="2"/>
        <v>220000</v>
      </c>
    </row>
    <row r="16" spans="1:23" x14ac:dyDescent="0.4">
      <c r="E16" s="342"/>
      <c r="F16" s="40"/>
    </row>
    <row r="17" spans="5:23" x14ac:dyDescent="0.4">
      <c r="E17" s="342"/>
      <c r="F17" s="40"/>
      <c r="K17" s="68">
        <v>60000</v>
      </c>
      <c r="L17" s="59">
        <f>L9</f>
        <v>346.1</v>
      </c>
      <c r="M17" s="59">
        <f t="shared" ref="M17:M22" si="13">M10*M$9</f>
        <v>57.800000000000004</v>
      </c>
      <c r="N17" s="59"/>
      <c r="O17" s="59"/>
      <c r="P17" s="59">
        <f t="shared" ref="P17:P22" si="14">SUM(L17:O17)</f>
        <v>403.90000000000003</v>
      </c>
      <c r="R17" s="68">
        <v>60000</v>
      </c>
      <c r="S17" s="59">
        <f>S9</f>
        <v>366.21000000000004</v>
      </c>
      <c r="T17" s="59">
        <f t="shared" ref="T17:T22" si="15">T10*T$9</f>
        <v>61.2</v>
      </c>
      <c r="U17" s="59"/>
      <c r="V17" s="59"/>
      <c r="W17" s="59">
        <f t="shared" ref="W17:W22" si="16">SUM(S17:V17)</f>
        <v>427.41</v>
      </c>
    </row>
    <row r="18" spans="5:23" x14ac:dyDescent="0.4">
      <c r="E18" s="342"/>
      <c r="F18" s="40"/>
      <c r="K18" s="68">
        <v>80000</v>
      </c>
      <c r="L18" s="59">
        <f t="shared" ref="L18:L22" si="17">L17</f>
        <v>346.1</v>
      </c>
      <c r="M18" s="59">
        <f t="shared" si="13"/>
        <v>173.4</v>
      </c>
      <c r="N18" s="59">
        <f>N11*N$9</f>
        <v>0</v>
      </c>
      <c r="O18" s="59"/>
      <c r="P18" s="59">
        <f t="shared" si="14"/>
        <v>519.5</v>
      </c>
      <c r="R18" s="68">
        <v>80000</v>
      </c>
      <c r="S18" s="59">
        <f t="shared" ref="S18:S22" si="18">S17</f>
        <v>366.21000000000004</v>
      </c>
      <c r="T18" s="59">
        <f t="shared" si="15"/>
        <v>183.60000000000002</v>
      </c>
      <c r="U18" s="59">
        <f>U11*U$9</f>
        <v>0</v>
      </c>
      <c r="V18" s="59"/>
      <c r="W18" s="59">
        <f t="shared" si="16"/>
        <v>549.81000000000006</v>
      </c>
    </row>
    <row r="19" spans="5:23" x14ac:dyDescent="0.4">
      <c r="E19" s="342"/>
      <c r="F19" s="40"/>
      <c r="K19" s="68">
        <v>100000</v>
      </c>
      <c r="L19" s="59">
        <f t="shared" si="17"/>
        <v>346.1</v>
      </c>
      <c r="M19" s="59">
        <f t="shared" si="13"/>
        <v>289</v>
      </c>
      <c r="N19" s="59">
        <f>N12*N$9</f>
        <v>0</v>
      </c>
      <c r="O19" s="59"/>
      <c r="P19" s="59">
        <f t="shared" si="14"/>
        <v>635.1</v>
      </c>
      <c r="R19" s="68">
        <v>100000</v>
      </c>
      <c r="S19" s="59">
        <f t="shared" si="18"/>
        <v>366.21000000000004</v>
      </c>
      <c r="T19" s="59">
        <f t="shared" si="15"/>
        <v>306</v>
      </c>
      <c r="U19" s="59">
        <f>U12*U$9</f>
        <v>0</v>
      </c>
      <c r="V19" s="59"/>
      <c r="W19" s="59">
        <f t="shared" si="16"/>
        <v>672.21</v>
      </c>
    </row>
    <row r="20" spans="5:23" x14ac:dyDescent="0.4">
      <c r="E20" s="342"/>
      <c r="F20" s="40"/>
      <c r="K20" s="68">
        <v>120000</v>
      </c>
      <c r="L20" s="59">
        <f t="shared" si="17"/>
        <v>346.1</v>
      </c>
      <c r="M20" s="59">
        <f t="shared" si="13"/>
        <v>404.6</v>
      </c>
      <c r="N20" s="59">
        <f>N13*N$9</f>
        <v>0</v>
      </c>
      <c r="O20" s="59"/>
      <c r="P20" s="59">
        <f t="shared" si="14"/>
        <v>750.7</v>
      </c>
      <c r="R20" s="68">
        <v>120000</v>
      </c>
      <c r="S20" s="59">
        <f t="shared" si="18"/>
        <v>366.21000000000004</v>
      </c>
      <c r="T20" s="59">
        <f t="shared" si="15"/>
        <v>428.40000000000003</v>
      </c>
      <c r="U20" s="59">
        <f>U13*U$9</f>
        <v>0</v>
      </c>
      <c r="V20" s="59"/>
      <c r="W20" s="59">
        <f t="shared" si="16"/>
        <v>794.61000000000013</v>
      </c>
    </row>
    <row r="21" spans="5:23" x14ac:dyDescent="0.4">
      <c r="E21" s="342"/>
      <c r="F21" s="40"/>
      <c r="K21" s="68">
        <v>140000</v>
      </c>
      <c r="L21" s="59">
        <f t="shared" si="17"/>
        <v>346.1</v>
      </c>
      <c r="M21" s="59">
        <f t="shared" si="13"/>
        <v>520.20000000000005</v>
      </c>
      <c r="N21" s="59">
        <f>N14*N$9</f>
        <v>0</v>
      </c>
      <c r="O21" s="59"/>
      <c r="P21" s="59">
        <f t="shared" si="14"/>
        <v>866.30000000000007</v>
      </c>
      <c r="R21" s="68">
        <v>140000</v>
      </c>
      <c r="S21" s="59">
        <f t="shared" si="18"/>
        <v>366.21000000000004</v>
      </c>
      <c r="T21" s="59">
        <f t="shared" si="15"/>
        <v>550.80000000000007</v>
      </c>
      <c r="U21" s="59">
        <f>U14*U$9</f>
        <v>0</v>
      </c>
      <c r="V21" s="59"/>
      <c r="W21" s="59">
        <f t="shared" si="16"/>
        <v>917.0100000000001</v>
      </c>
    </row>
    <row r="22" spans="5:23" x14ac:dyDescent="0.4">
      <c r="E22" s="342"/>
      <c r="F22" s="40"/>
      <c r="K22" s="68">
        <v>220000</v>
      </c>
      <c r="L22" s="59">
        <f t="shared" si="17"/>
        <v>346.1</v>
      </c>
      <c r="M22" s="59">
        <f t="shared" si="13"/>
        <v>867.00000000000011</v>
      </c>
      <c r="N22" s="59">
        <f>N15*N$9</f>
        <v>108.2</v>
      </c>
      <c r="O22" s="59"/>
      <c r="P22" s="59">
        <f t="shared" si="14"/>
        <v>1321.3000000000002</v>
      </c>
      <c r="R22" s="68">
        <v>220000</v>
      </c>
      <c r="S22" s="59">
        <f t="shared" si="18"/>
        <v>366.21000000000004</v>
      </c>
      <c r="T22" s="59">
        <f t="shared" si="15"/>
        <v>918.00000000000011</v>
      </c>
      <c r="U22" s="59">
        <f>U15*U$9</f>
        <v>114.4</v>
      </c>
      <c r="V22" s="59"/>
      <c r="W22" s="59">
        <f t="shared" si="16"/>
        <v>1398.6100000000001</v>
      </c>
    </row>
    <row r="23" spans="5:23" x14ac:dyDescent="0.4">
      <c r="E23" s="342"/>
      <c r="F23" s="40"/>
    </row>
  </sheetData>
  <mergeCells count="2">
    <mergeCell ref="K7:P7"/>
    <mergeCell ref="R7:W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0F2DB-E71C-4286-9E9A-F3117B1A31D6}">
  <dimension ref="A3:W22"/>
  <sheetViews>
    <sheetView topLeftCell="G1" workbookViewId="0">
      <selection activeCell="G1" sqref="A1:XFD1048576"/>
    </sheetView>
  </sheetViews>
  <sheetFormatPr defaultRowHeight="15" x14ac:dyDescent="0.4"/>
  <cols>
    <col min="3" max="3" width="4.77734375" style="40" customWidth="1"/>
    <col min="4" max="5" width="10.77734375" style="40" customWidth="1"/>
    <col min="6" max="6" width="1.77734375" style="214" customWidth="1"/>
    <col min="7" max="7" width="10.77734375" style="40" customWidth="1"/>
    <col min="8" max="8" width="1.21875" style="40" customWidth="1"/>
    <col min="9" max="9" width="10.77734375" style="214" customWidth="1"/>
    <col min="10" max="10" width="10.77734375" style="40" customWidth="1"/>
    <col min="11" max="11" width="11.44140625" style="68" bestFit="1" customWidth="1"/>
    <col min="12" max="14" width="10.44140625" style="68" bestFit="1" customWidth="1"/>
    <col min="15" max="15" width="11.44140625" style="68" bestFit="1" customWidth="1"/>
    <col min="18" max="18" width="11.44140625" style="68" bestFit="1" customWidth="1"/>
    <col min="19" max="21" width="10.44140625" style="68" bestFit="1" customWidth="1"/>
    <col min="22" max="22" width="11.44140625" style="68" bestFit="1" customWidth="1"/>
  </cols>
  <sheetData>
    <row r="3" spans="1:23" x14ac:dyDescent="0.4">
      <c r="C3"/>
      <c r="D3"/>
      <c r="E3"/>
      <c r="F3"/>
      <c r="G3"/>
      <c r="H3"/>
      <c r="I3"/>
      <c r="J3"/>
    </row>
    <row r="4" spans="1:23" x14ac:dyDescent="0.4">
      <c r="C4"/>
      <c r="D4"/>
      <c r="E4"/>
      <c r="F4"/>
      <c r="G4"/>
      <c r="H4"/>
      <c r="I4"/>
      <c r="J4"/>
    </row>
    <row r="5" spans="1:23" x14ac:dyDescent="0.4">
      <c r="C5"/>
      <c r="D5"/>
      <c r="E5"/>
      <c r="F5"/>
      <c r="G5"/>
      <c r="H5"/>
      <c r="I5"/>
      <c r="J5"/>
    </row>
    <row r="7" spans="1:23" x14ac:dyDescent="0.4">
      <c r="C7" s="339"/>
      <c r="I7" s="340"/>
      <c r="K7" s="522" t="s">
        <v>456</v>
      </c>
      <c r="L7" s="522"/>
      <c r="M7" s="522"/>
      <c r="N7" s="522"/>
      <c r="O7" s="522"/>
      <c r="P7" s="522"/>
      <c r="R7" s="522" t="s">
        <v>456</v>
      </c>
      <c r="S7" s="522"/>
      <c r="T7" s="522"/>
      <c r="U7" s="522"/>
      <c r="V7" s="522"/>
      <c r="W7" s="522"/>
    </row>
    <row r="8" spans="1:23" ht="15.75" x14ac:dyDescent="0.5">
      <c r="A8" s="40" t="s">
        <v>235</v>
      </c>
      <c r="B8" s="60"/>
      <c r="D8" s="219"/>
      <c r="E8" s="220"/>
      <c r="F8" s="13"/>
      <c r="H8" s="60"/>
      <c r="I8" s="40"/>
      <c r="J8" s="219"/>
      <c r="L8" s="60">
        <v>100000</v>
      </c>
      <c r="M8" s="60">
        <v>100000</v>
      </c>
      <c r="N8" s="60">
        <v>400000</v>
      </c>
      <c r="O8" s="60">
        <f>SUM(K8:N8)</f>
        <v>600000</v>
      </c>
      <c r="S8" s="60">
        <v>100000</v>
      </c>
      <c r="T8" s="60">
        <v>100000</v>
      </c>
      <c r="U8" s="60">
        <v>400000</v>
      </c>
      <c r="V8" s="60">
        <f>SUM(R8:U8)</f>
        <v>600000</v>
      </c>
    </row>
    <row r="9" spans="1:23" ht="15.75" x14ac:dyDescent="0.5">
      <c r="A9" s="40" t="s">
        <v>48</v>
      </c>
      <c r="B9" s="60">
        <v>100000</v>
      </c>
      <c r="C9" s="40" t="s">
        <v>125</v>
      </c>
      <c r="D9" s="221">
        <f>'Table C'!F56</f>
        <v>650.30999999999995</v>
      </c>
      <c r="E9" s="220" t="s">
        <v>145</v>
      </c>
      <c r="F9" s="13"/>
      <c r="G9" s="221">
        <f>'Table C'!L56</f>
        <v>688.08999999999992</v>
      </c>
      <c r="H9" s="220" t="s">
        <v>145</v>
      </c>
      <c r="I9" s="40"/>
      <c r="L9" s="221">
        <f>D9</f>
        <v>650.30999999999995</v>
      </c>
      <c r="M9" s="222">
        <f>D10</f>
        <v>5.7800000000000004E-3</v>
      </c>
      <c r="N9" s="222">
        <f>D11</f>
        <v>5.4099999999999999E-3</v>
      </c>
      <c r="O9" s="222">
        <f>D12</f>
        <v>4.0099999999999997E-3</v>
      </c>
      <c r="S9" s="221">
        <f>G9</f>
        <v>688.08999999999992</v>
      </c>
      <c r="T9" s="222">
        <f>G10</f>
        <v>6.1200000000000004E-3</v>
      </c>
      <c r="U9" s="222">
        <f>G11</f>
        <v>5.7200000000000003E-3</v>
      </c>
      <c r="V9" s="222">
        <f>G12</f>
        <v>4.2399999999999998E-3</v>
      </c>
    </row>
    <row r="10" spans="1:23" ht="15.75" x14ac:dyDescent="0.5">
      <c r="A10" s="40" t="s">
        <v>49</v>
      </c>
      <c r="B10" s="60">
        <v>100000</v>
      </c>
      <c r="C10" s="40" t="s">
        <v>125</v>
      </c>
      <c r="D10" s="222">
        <f>'Table C'!F57</f>
        <v>5.7800000000000004E-3</v>
      </c>
      <c r="E10" s="220" t="s">
        <v>144</v>
      </c>
      <c r="F10" s="13"/>
      <c r="G10" s="222">
        <f>'Table C'!L57</f>
        <v>6.1200000000000004E-3</v>
      </c>
      <c r="H10" s="220" t="s">
        <v>144</v>
      </c>
      <c r="I10" s="40"/>
      <c r="K10" s="68">
        <v>120000</v>
      </c>
      <c r="L10" s="68">
        <v>100000</v>
      </c>
      <c r="M10" s="60">
        <f>K10-L10</f>
        <v>20000</v>
      </c>
      <c r="P10" s="68">
        <f>SUM(L10:O10)</f>
        <v>120000</v>
      </c>
      <c r="R10" s="68">
        <v>120000</v>
      </c>
      <c r="S10" s="68">
        <f t="shared" ref="S10:V14" si="0">L10</f>
        <v>100000</v>
      </c>
      <c r="T10" s="68">
        <f t="shared" si="0"/>
        <v>20000</v>
      </c>
      <c r="U10" s="68">
        <f t="shared" si="0"/>
        <v>0</v>
      </c>
      <c r="V10" s="68">
        <f t="shared" si="0"/>
        <v>0</v>
      </c>
      <c r="W10" s="68">
        <f>SUM(S10:V10)</f>
        <v>120000</v>
      </c>
    </row>
    <row r="11" spans="1:23" ht="15.75" x14ac:dyDescent="0.5">
      <c r="A11" s="40" t="s">
        <v>49</v>
      </c>
      <c r="B11" s="60">
        <v>400000</v>
      </c>
      <c r="C11" s="40" t="s">
        <v>125</v>
      </c>
      <c r="D11" s="222">
        <f>'Table C'!F58</f>
        <v>5.4099999999999999E-3</v>
      </c>
      <c r="E11" s="220" t="s">
        <v>144</v>
      </c>
      <c r="F11" s="13"/>
      <c r="G11" s="222">
        <f>'Table C'!L58</f>
        <v>5.7200000000000003E-3</v>
      </c>
      <c r="H11" s="220" t="s">
        <v>144</v>
      </c>
      <c r="I11" s="40"/>
      <c r="K11" s="68">
        <v>140000</v>
      </c>
      <c r="L11" s="68">
        <v>100000</v>
      </c>
      <c r="M11" s="60">
        <f t="shared" ref="M11:M14" si="1">K11-L11</f>
        <v>40000</v>
      </c>
      <c r="N11" s="68">
        <f>K11-L11-M11</f>
        <v>0</v>
      </c>
      <c r="P11" s="68">
        <f>SUM(L11:O11)</f>
        <v>140000</v>
      </c>
      <c r="R11" s="68">
        <v>140000</v>
      </c>
      <c r="S11" s="68">
        <f t="shared" si="0"/>
        <v>100000</v>
      </c>
      <c r="T11" s="68">
        <f t="shared" si="0"/>
        <v>40000</v>
      </c>
      <c r="U11" s="68">
        <f t="shared" si="0"/>
        <v>0</v>
      </c>
      <c r="V11" s="68">
        <f t="shared" si="0"/>
        <v>0</v>
      </c>
      <c r="W11" s="68">
        <f>SUM(S11:V11)</f>
        <v>140000</v>
      </c>
    </row>
    <row r="12" spans="1:23" ht="15.75" x14ac:dyDescent="0.5">
      <c r="A12" s="40" t="s">
        <v>76</v>
      </c>
      <c r="B12" s="60">
        <f>SUM(B8:B11)</f>
        <v>600000</v>
      </c>
      <c r="C12" s="40" t="s">
        <v>125</v>
      </c>
      <c r="D12" s="222">
        <f>'Table C'!F59</f>
        <v>4.0099999999999997E-3</v>
      </c>
      <c r="E12" s="220" t="s">
        <v>144</v>
      </c>
      <c r="F12" s="13"/>
      <c r="G12" s="222">
        <f>'Table C'!L59</f>
        <v>4.2399999999999998E-3</v>
      </c>
      <c r="H12" s="220" t="s">
        <v>144</v>
      </c>
      <c r="I12" s="40"/>
      <c r="K12" s="68">
        <v>160000</v>
      </c>
      <c r="L12" s="68">
        <v>100000</v>
      </c>
      <c r="M12" s="60">
        <f t="shared" si="1"/>
        <v>60000</v>
      </c>
      <c r="N12" s="68">
        <f>K12-L12-M12</f>
        <v>0</v>
      </c>
      <c r="P12" s="68">
        <f>SUM(L12:O12)</f>
        <v>160000</v>
      </c>
      <c r="R12" s="68">
        <v>160000</v>
      </c>
      <c r="S12" s="68">
        <f t="shared" si="0"/>
        <v>100000</v>
      </c>
      <c r="T12" s="68">
        <f t="shared" si="0"/>
        <v>60000</v>
      </c>
      <c r="U12" s="68">
        <f t="shared" si="0"/>
        <v>0</v>
      </c>
      <c r="V12" s="68">
        <f t="shared" si="0"/>
        <v>0</v>
      </c>
      <c r="W12" s="68">
        <f>SUM(S12:V12)</f>
        <v>160000</v>
      </c>
    </row>
    <row r="13" spans="1:23" x14ac:dyDescent="0.4">
      <c r="G13" s="222"/>
      <c r="K13" s="68">
        <v>180000</v>
      </c>
      <c r="L13" s="68">
        <v>100000</v>
      </c>
      <c r="M13" s="60">
        <f t="shared" si="1"/>
        <v>80000</v>
      </c>
      <c r="N13" s="68">
        <f>K13-L13-M13</f>
        <v>0</v>
      </c>
      <c r="P13" s="68">
        <f>SUM(L13:O13)</f>
        <v>180000</v>
      </c>
      <c r="R13" s="68">
        <v>180000</v>
      </c>
      <c r="S13" s="68">
        <f t="shared" si="0"/>
        <v>100000</v>
      </c>
      <c r="T13" s="68">
        <f t="shared" si="0"/>
        <v>80000</v>
      </c>
      <c r="U13" s="68">
        <f t="shared" si="0"/>
        <v>0</v>
      </c>
      <c r="V13" s="68">
        <f t="shared" si="0"/>
        <v>0</v>
      </c>
      <c r="W13" s="68">
        <f>SUM(S13:V13)</f>
        <v>180000</v>
      </c>
    </row>
    <row r="14" spans="1:23" x14ac:dyDescent="0.4">
      <c r="E14" s="342"/>
      <c r="F14" s="40"/>
      <c r="K14" s="68">
        <v>200000</v>
      </c>
      <c r="L14" s="68">
        <v>100000</v>
      </c>
      <c r="M14" s="60">
        <f t="shared" si="1"/>
        <v>100000</v>
      </c>
      <c r="N14" s="68">
        <f>K14-L14-M14</f>
        <v>0</v>
      </c>
      <c r="P14" s="68">
        <f>SUM(L14:O14)</f>
        <v>200000</v>
      </c>
      <c r="R14" s="68">
        <v>200000</v>
      </c>
      <c r="S14" s="68">
        <f t="shared" si="0"/>
        <v>100000</v>
      </c>
      <c r="T14" s="68">
        <f t="shared" si="0"/>
        <v>100000</v>
      </c>
      <c r="U14" s="68">
        <f t="shared" si="0"/>
        <v>0</v>
      </c>
      <c r="V14" s="68">
        <f t="shared" si="0"/>
        <v>0</v>
      </c>
      <c r="W14" s="68">
        <f>SUM(S14:V14)</f>
        <v>200000</v>
      </c>
    </row>
    <row r="15" spans="1:23" x14ac:dyDescent="0.4">
      <c r="E15" s="342"/>
      <c r="F15" s="40"/>
    </row>
    <row r="16" spans="1:23" x14ac:dyDescent="0.4">
      <c r="E16" s="342"/>
      <c r="F16" s="40"/>
      <c r="K16" s="68">
        <v>120000</v>
      </c>
      <c r="L16" s="59">
        <f>L9</f>
        <v>650.30999999999995</v>
      </c>
      <c r="M16" s="59">
        <f>M10*M$9</f>
        <v>115.60000000000001</v>
      </c>
      <c r="N16" s="59"/>
      <c r="O16" s="59"/>
      <c r="P16" s="59">
        <f>SUM(L16:O16)</f>
        <v>765.91</v>
      </c>
      <c r="R16" s="68">
        <v>120000</v>
      </c>
      <c r="S16" s="59">
        <f>S9</f>
        <v>688.08999999999992</v>
      </c>
      <c r="T16" s="59">
        <f>T10*T$9</f>
        <v>122.4</v>
      </c>
      <c r="U16" s="59"/>
      <c r="V16" s="59"/>
      <c r="W16" s="59">
        <f>SUM(S16:V16)</f>
        <v>810.4899999999999</v>
      </c>
    </row>
    <row r="17" spans="5:23" x14ac:dyDescent="0.4">
      <c r="E17" s="342"/>
      <c r="F17" s="40"/>
      <c r="K17" s="68">
        <v>140000</v>
      </c>
      <c r="L17" s="59">
        <f t="shared" ref="L17:L20" si="2">L16</f>
        <v>650.30999999999995</v>
      </c>
      <c r="M17" s="59">
        <f>M11*M$9</f>
        <v>231.20000000000002</v>
      </c>
      <c r="N17" s="59">
        <f>N11*N$9</f>
        <v>0</v>
      </c>
      <c r="O17" s="59"/>
      <c r="P17" s="59">
        <f>SUM(L17:O17)</f>
        <v>881.51</v>
      </c>
      <c r="R17" s="68">
        <v>140000</v>
      </c>
      <c r="S17" s="59">
        <f t="shared" ref="S17:S20" si="3">S16</f>
        <v>688.08999999999992</v>
      </c>
      <c r="T17" s="59">
        <f>T11*T$9</f>
        <v>244.8</v>
      </c>
      <c r="U17" s="59">
        <f>U11*U$9</f>
        <v>0</v>
      </c>
      <c r="V17" s="59"/>
      <c r="W17" s="59">
        <f>SUM(S17:V17)</f>
        <v>932.88999999999987</v>
      </c>
    </row>
    <row r="18" spans="5:23" x14ac:dyDescent="0.4">
      <c r="E18" s="342"/>
      <c r="F18" s="40"/>
      <c r="K18" s="68">
        <v>160000</v>
      </c>
      <c r="L18" s="59">
        <f t="shared" si="2"/>
        <v>650.30999999999995</v>
      </c>
      <c r="M18" s="59">
        <f>M12*M$9</f>
        <v>346.8</v>
      </c>
      <c r="N18" s="59">
        <f>N12*N$9</f>
        <v>0</v>
      </c>
      <c r="O18" s="59"/>
      <c r="P18" s="59">
        <f>SUM(L18:O18)</f>
        <v>997.1099999999999</v>
      </c>
      <c r="R18" s="68">
        <v>160000</v>
      </c>
      <c r="S18" s="59">
        <f t="shared" si="3"/>
        <v>688.08999999999992</v>
      </c>
      <c r="T18" s="59">
        <f>T12*T$9</f>
        <v>367.20000000000005</v>
      </c>
      <c r="U18" s="59">
        <f>U12*U$9</f>
        <v>0</v>
      </c>
      <c r="V18" s="59"/>
      <c r="W18" s="59">
        <f>SUM(S18:V18)</f>
        <v>1055.29</v>
      </c>
    </row>
    <row r="19" spans="5:23" x14ac:dyDescent="0.4">
      <c r="E19" s="342"/>
      <c r="F19" s="40"/>
      <c r="K19" s="68">
        <v>180000</v>
      </c>
      <c r="L19" s="59">
        <f t="shared" si="2"/>
        <v>650.30999999999995</v>
      </c>
      <c r="M19" s="59">
        <f>M13*M$9</f>
        <v>462.40000000000003</v>
      </c>
      <c r="N19" s="59">
        <f>N13*N$9</f>
        <v>0</v>
      </c>
      <c r="O19" s="59"/>
      <c r="P19" s="59">
        <f>SUM(L19:O19)</f>
        <v>1112.71</v>
      </c>
      <c r="R19" s="68">
        <v>180000</v>
      </c>
      <c r="S19" s="59">
        <f t="shared" si="3"/>
        <v>688.08999999999992</v>
      </c>
      <c r="T19" s="59">
        <f>T13*T$9</f>
        <v>489.6</v>
      </c>
      <c r="U19" s="59">
        <f>U13*U$9</f>
        <v>0</v>
      </c>
      <c r="V19" s="59"/>
      <c r="W19" s="59">
        <f>SUM(S19:V19)</f>
        <v>1177.69</v>
      </c>
    </row>
    <row r="20" spans="5:23" x14ac:dyDescent="0.4">
      <c r="E20" s="342"/>
      <c r="F20" s="40"/>
      <c r="K20" s="68">
        <v>200000</v>
      </c>
      <c r="L20" s="59">
        <f t="shared" si="2"/>
        <v>650.30999999999995</v>
      </c>
      <c r="M20" s="59">
        <f>M14*M$9</f>
        <v>578</v>
      </c>
      <c r="N20" s="59">
        <f>N14*N$9</f>
        <v>0</v>
      </c>
      <c r="O20" s="59"/>
      <c r="P20" s="59">
        <f>SUM(L20:O20)</f>
        <v>1228.31</v>
      </c>
      <c r="R20" s="68">
        <v>200000</v>
      </c>
      <c r="S20" s="59">
        <f t="shared" si="3"/>
        <v>688.08999999999992</v>
      </c>
      <c r="T20" s="59">
        <f>T14*T$9</f>
        <v>612</v>
      </c>
      <c r="U20" s="59">
        <f>U14*U$9</f>
        <v>0</v>
      </c>
      <c r="V20" s="59"/>
      <c r="W20" s="59">
        <f>SUM(S20:V20)</f>
        <v>1300.0899999999999</v>
      </c>
    </row>
    <row r="21" spans="5:23" x14ac:dyDescent="0.4">
      <c r="E21" s="342"/>
      <c r="F21" s="40"/>
    </row>
    <row r="22" spans="5:23" x14ac:dyDescent="0.4">
      <c r="E22" s="342"/>
      <c r="F22" s="40"/>
    </row>
  </sheetData>
  <mergeCells count="2">
    <mergeCell ref="K7:P7"/>
    <mergeCell ref="R7:W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67E2B-D51C-4AC3-91A5-C453C634FC16}">
  <dimension ref="A3:W22"/>
  <sheetViews>
    <sheetView topLeftCell="G1" workbookViewId="0">
      <selection activeCell="L15" sqref="L15"/>
    </sheetView>
  </sheetViews>
  <sheetFormatPr defaultRowHeight="15" x14ac:dyDescent="0.4"/>
  <cols>
    <col min="3" max="3" width="4.77734375" style="40" customWidth="1"/>
    <col min="4" max="5" width="10.77734375" style="40" customWidth="1"/>
    <col min="6" max="6" width="1.77734375" style="214" customWidth="1"/>
    <col min="7" max="7" width="10.77734375" style="40" customWidth="1"/>
    <col min="8" max="8" width="1.21875" style="40" customWidth="1"/>
    <col min="9" max="9" width="10.77734375" style="214" customWidth="1"/>
    <col min="10" max="10" width="10.77734375" style="40" customWidth="1"/>
    <col min="11" max="11" width="11.44140625" style="68" bestFit="1" customWidth="1"/>
    <col min="12" max="14" width="10.44140625" style="68" bestFit="1" customWidth="1"/>
    <col min="15" max="15" width="11.44140625" style="68" bestFit="1" customWidth="1"/>
    <col min="18" max="18" width="11.44140625" style="68" bestFit="1" customWidth="1"/>
    <col min="19" max="21" width="10.44140625" style="68" bestFit="1" customWidth="1"/>
    <col min="22" max="22" width="11.44140625" style="68" bestFit="1" customWidth="1"/>
  </cols>
  <sheetData>
    <row r="3" spans="1:23" x14ac:dyDescent="0.4">
      <c r="C3"/>
      <c r="D3"/>
      <c r="E3"/>
      <c r="F3"/>
      <c r="G3"/>
      <c r="H3"/>
      <c r="I3"/>
      <c r="J3"/>
    </row>
    <row r="4" spans="1:23" x14ac:dyDescent="0.4">
      <c r="C4"/>
      <c r="D4"/>
      <c r="E4"/>
      <c r="F4"/>
      <c r="G4"/>
      <c r="H4"/>
      <c r="I4"/>
      <c r="J4"/>
    </row>
    <row r="5" spans="1:23" x14ac:dyDescent="0.4">
      <c r="C5"/>
      <c r="D5"/>
      <c r="E5"/>
      <c r="F5"/>
      <c r="G5"/>
      <c r="H5"/>
      <c r="I5"/>
      <c r="J5"/>
    </row>
    <row r="7" spans="1:23" x14ac:dyDescent="0.4">
      <c r="C7" s="339"/>
      <c r="I7" s="340"/>
      <c r="K7" s="522" t="s">
        <v>456</v>
      </c>
      <c r="L7" s="522"/>
      <c r="M7" s="522"/>
      <c r="N7" s="522"/>
      <c r="O7" s="522"/>
      <c r="P7" s="522"/>
      <c r="R7" s="522" t="s">
        <v>456</v>
      </c>
      <c r="S7" s="522"/>
      <c r="T7" s="522"/>
      <c r="U7" s="522"/>
      <c r="V7" s="522"/>
      <c r="W7" s="522"/>
    </row>
    <row r="8" spans="1:23" ht="15.75" x14ac:dyDescent="0.5">
      <c r="A8" s="40" t="s">
        <v>236</v>
      </c>
      <c r="B8" s="60"/>
      <c r="D8" s="219"/>
      <c r="E8" s="220"/>
      <c r="F8" s="13"/>
      <c r="H8" s="60"/>
      <c r="I8" s="40"/>
      <c r="J8" s="219"/>
      <c r="L8" s="60">
        <v>160000</v>
      </c>
      <c r="M8" s="60">
        <v>40000</v>
      </c>
      <c r="N8" s="60">
        <v>400000</v>
      </c>
      <c r="O8" s="60">
        <f>SUM(K8:N8)</f>
        <v>600000</v>
      </c>
      <c r="S8" s="60">
        <v>160000</v>
      </c>
      <c r="T8" s="60">
        <v>40000</v>
      </c>
      <c r="U8" s="60">
        <v>400000</v>
      </c>
      <c r="V8" s="60">
        <f>SUM(R8:U8)</f>
        <v>600000</v>
      </c>
    </row>
    <row r="9" spans="1:23" ht="15.75" x14ac:dyDescent="0.5">
      <c r="A9" s="40" t="s">
        <v>48</v>
      </c>
      <c r="B9" s="60">
        <v>160000</v>
      </c>
      <c r="C9" s="40" t="s">
        <v>125</v>
      </c>
      <c r="D9" s="221">
        <f>'Table C'!F62</f>
        <v>1018.89</v>
      </c>
      <c r="E9" s="220" t="s">
        <v>145</v>
      </c>
      <c r="F9" s="13"/>
      <c r="G9" s="221">
        <f>'Table C'!L62</f>
        <v>1078.0899999999999</v>
      </c>
      <c r="H9" s="220" t="s">
        <v>145</v>
      </c>
      <c r="I9" s="40"/>
      <c r="L9" s="221">
        <f>D9</f>
        <v>1018.89</v>
      </c>
      <c r="M9" s="222">
        <f>D10</f>
        <v>5.7800000000000004E-3</v>
      </c>
      <c r="N9" s="222">
        <f>D11</f>
        <v>5.4099999999999999E-3</v>
      </c>
      <c r="O9" s="222">
        <f>D12</f>
        <v>4.0099999999999997E-3</v>
      </c>
      <c r="S9" s="221">
        <f>G9</f>
        <v>1078.0899999999999</v>
      </c>
      <c r="T9" s="222">
        <f>G10</f>
        <v>6.1200000000000004E-3</v>
      </c>
      <c r="U9" s="222">
        <f>G11</f>
        <v>5.7200000000000003E-3</v>
      </c>
      <c r="V9" s="222">
        <f>G12</f>
        <v>4.2399999999999998E-3</v>
      </c>
    </row>
    <row r="10" spans="1:23" ht="15.75" x14ac:dyDescent="0.5">
      <c r="A10" s="40" t="s">
        <v>49</v>
      </c>
      <c r="B10" s="60">
        <v>40000</v>
      </c>
      <c r="C10" s="40" t="s">
        <v>125</v>
      </c>
      <c r="D10" s="222">
        <f>'Table C'!F63</f>
        <v>5.7800000000000004E-3</v>
      </c>
      <c r="E10" s="220" t="s">
        <v>144</v>
      </c>
      <c r="F10" s="13"/>
      <c r="G10" s="222">
        <f>'Table C'!L63</f>
        <v>6.1200000000000004E-3</v>
      </c>
      <c r="H10" s="220" t="s">
        <v>144</v>
      </c>
      <c r="I10" s="40"/>
      <c r="K10" s="68">
        <v>120000</v>
      </c>
      <c r="L10" s="68">
        <v>120000</v>
      </c>
      <c r="M10" s="60">
        <f>K10-L10</f>
        <v>0</v>
      </c>
      <c r="P10" s="68">
        <f>SUM(L10:O10)</f>
        <v>120000</v>
      </c>
      <c r="R10" s="68">
        <v>120000</v>
      </c>
      <c r="S10" s="68">
        <f t="shared" ref="S10:V14" si="0">L10</f>
        <v>120000</v>
      </c>
      <c r="T10" s="68">
        <f t="shared" si="0"/>
        <v>0</v>
      </c>
      <c r="U10" s="68">
        <f t="shared" si="0"/>
        <v>0</v>
      </c>
      <c r="V10" s="68">
        <f t="shared" si="0"/>
        <v>0</v>
      </c>
      <c r="W10" s="68">
        <f>SUM(S10:V10)</f>
        <v>120000</v>
      </c>
    </row>
    <row r="11" spans="1:23" ht="15.75" x14ac:dyDescent="0.5">
      <c r="A11" s="40" t="s">
        <v>49</v>
      </c>
      <c r="B11" s="60">
        <v>400000</v>
      </c>
      <c r="C11" s="40" t="s">
        <v>125</v>
      </c>
      <c r="D11" s="222">
        <f>'Table C'!F64</f>
        <v>5.4099999999999999E-3</v>
      </c>
      <c r="E11" s="220" t="s">
        <v>144</v>
      </c>
      <c r="F11" s="13"/>
      <c r="G11" s="222">
        <f>'Table C'!L64</f>
        <v>5.7200000000000003E-3</v>
      </c>
      <c r="H11" s="220" t="s">
        <v>144</v>
      </c>
      <c r="I11" s="40"/>
      <c r="K11" s="68">
        <v>140000</v>
      </c>
      <c r="L11" s="68">
        <v>140000</v>
      </c>
      <c r="M11" s="60">
        <f t="shared" ref="M11:M14" si="1">K11-L11</f>
        <v>0</v>
      </c>
      <c r="N11" s="68">
        <f>K11-L11-M11</f>
        <v>0</v>
      </c>
      <c r="P11" s="68">
        <f>SUM(L11:O11)</f>
        <v>140000</v>
      </c>
      <c r="R11" s="68">
        <v>140000</v>
      </c>
      <c r="S11" s="68">
        <f t="shared" si="0"/>
        <v>140000</v>
      </c>
      <c r="T11" s="68">
        <f t="shared" si="0"/>
        <v>0</v>
      </c>
      <c r="U11" s="68">
        <f t="shared" si="0"/>
        <v>0</v>
      </c>
      <c r="V11" s="68">
        <f t="shared" si="0"/>
        <v>0</v>
      </c>
      <c r="W11" s="68">
        <f>SUM(S11:V11)</f>
        <v>140000</v>
      </c>
    </row>
    <row r="12" spans="1:23" ht="15.75" x14ac:dyDescent="0.5">
      <c r="A12" s="40" t="s">
        <v>76</v>
      </c>
      <c r="B12" s="60">
        <f>SUM(B8:B11)</f>
        <v>600000</v>
      </c>
      <c r="C12" s="40" t="s">
        <v>125</v>
      </c>
      <c r="D12" s="222">
        <f>'Table C'!F65</f>
        <v>4.0099999999999997E-3</v>
      </c>
      <c r="E12" s="220" t="s">
        <v>144</v>
      </c>
      <c r="F12" s="13"/>
      <c r="G12" s="222">
        <f>'Table C'!L65</f>
        <v>4.2399999999999998E-3</v>
      </c>
      <c r="H12" s="220" t="s">
        <v>144</v>
      </c>
      <c r="I12" s="40"/>
      <c r="K12" s="68">
        <v>160000</v>
      </c>
      <c r="L12" s="68">
        <v>160000</v>
      </c>
      <c r="M12" s="60">
        <f t="shared" si="1"/>
        <v>0</v>
      </c>
      <c r="N12" s="68">
        <f>K12-L12-M12</f>
        <v>0</v>
      </c>
      <c r="P12" s="68">
        <f>SUM(L12:O12)</f>
        <v>160000</v>
      </c>
      <c r="R12" s="68">
        <v>160000</v>
      </c>
      <c r="S12" s="68">
        <f t="shared" si="0"/>
        <v>160000</v>
      </c>
      <c r="T12" s="68">
        <f t="shared" si="0"/>
        <v>0</v>
      </c>
      <c r="U12" s="68">
        <f t="shared" si="0"/>
        <v>0</v>
      </c>
      <c r="V12" s="68">
        <f t="shared" si="0"/>
        <v>0</v>
      </c>
      <c r="W12" s="68">
        <f>SUM(S12:V12)</f>
        <v>160000</v>
      </c>
    </row>
    <row r="13" spans="1:23" x14ac:dyDescent="0.4">
      <c r="G13" s="222"/>
      <c r="K13" s="68">
        <v>180000</v>
      </c>
      <c r="L13" s="68">
        <v>160000</v>
      </c>
      <c r="M13" s="60">
        <f t="shared" si="1"/>
        <v>20000</v>
      </c>
      <c r="N13" s="68">
        <f>K13-L13-M13</f>
        <v>0</v>
      </c>
      <c r="P13" s="68">
        <f>SUM(L13:O13)</f>
        <v>180000</v>
      </c>
      <c r="R13" s="68">
        <v>180000</v>
      </c>
      <c r="S13" s="68">
        <f t="shared" si="0"/>
        <v>160000</v>
      </c>
      <c r="T13" s="68">
        <f t="shared" si="0"/>
        <v>20000</v>
      </c>
      <c r="U13" s="68">
        <f t="shared" si="0"/>
        <v>0</v>
      </c>
      <c r="V13" s="68">
        <f t="shared" si="0"/>
        <v>0</v>
      </c>
      <c r="W13" s="68">
        <f>SUM(S13:V13)</f>
        <v>180000</v>
      </c>
    </row>
    <row r="14" spans="1:23" x14ac:dyDescent="0.4">
      <c r="E14" s="342"/>
      <c r="F14" s="40"/>
      <c r="K14" s="68">
        <v>200000</v>
      </c>
      <c r="L14" s="68">
        <v>160000</v>
      </c>
      <c r="M14" s="60">
        <f t="shared" si="1"/>
        <v>40000</v>
      </c>
      <c r="N14" s="68">
        <f>K14-L14-M14</f>
        <v>0</v>
      </c>
      <c r="P14" s="68">
        <f>SUM(L14:O14)</f>
        <v>200000</v>
      </c>
      <c r="R14" s="68">
        <v>200000</v>
      </c>
      <c r="S14" s="68">
        <f t="shared" si="0"/>
        <v>160000</v>
      </c>
      <c r="T14" s="68">
        <f t="shared" si="0"/>
        <v>40000</v>
      </c>
      <c r="U14" s="68">
        <f t="shared" si="0"/>
        <v>0</v>
      </c>
      <c r="V14" s="68">
        <f t="shared" si="0"/>
        <v>0</v>
      </c>
      <c r="W14" s="68">
        <f>SUM(S14:V14)</f>
        <v>200000</v>
      </c>
    </row>
    <row r="15" spans="1:23" x14ac:dyDescent="0.4">
      <c r="E15" s="342"/>
      <c r="F15" s="40"/>
    </row>
    <row r="16" spans="1:23" x14ac:dyDescent="0.4">
      <c r="E16" s="342"/>
      <c r="F16" s="40"/>
      <c r="K16" s="68">
        <v>120000</v>
      </c>
      <c r="L16" s="59">
        <f>L9</f>
        <v>1018.89</v>
      </c>
      <c r="M16" s="59">
        <f>M10*M$9</f>
        <v>0</v>
      </c>
      <c r="N16" s="59"/>
      <c r="O16" s="59"/>
      <c r="P16" s="59">
        <f>SUM(L16:O16)</f>
        <v>1018.89</v>
      </c>
      <c r="R16" s="68">
        <v>120000</v>
      </c>
      <c r="S16" s="59">
        <f>S9</f>
        <v>1078.0899999999999</v>
      </c>
      <c r="T16" s="59">
        <f>T10*T$9</f>
        <v>0</v>
      </c>
      <c r="U16" s="59"/>
      <c r="V16" s="59"/>
      <c r="W16" s="59">
        <f>SUM(S16:V16)</f>
        <v>1078.0899999999999</v>
      </c>
    </row>
    <row r="17" spans="5:23" x14ac:dyDescent="0.4">
      <c r="E17" s="342"/>
      <c r="F17" s="40"/>
      <c r="K17" s="68">
        <v>140000</v>
      </c>
      <c r="L17" s="59">
        <f t="shared" ref="L17:L20" si="2">L16</f>
        <v>1018.89</v>
      </c>
      <c r="M17" s="59">
        <f>M11*M$9</f>
        <v>0</v>
      </c>
      <c r="N17" s="59">
        <f>N11*N$9</f>
        <v>0</v>
      </c>
      <c r="O17" s="59"/>
      <c r="P17" s="59">
        <f>SUM(L17:O17)</f>
        <v>1018.89</v>
      </c>
      <c r="R17" s="68">
        <v>140000</v>
      </c>
      <c r="S17" s="59">
        <f t="shared" ref="S17:S20" si="3">S16</f>
        <v>1078.0899999999999</v>
      </c>
      <c r="T17" s="59">
        <f>T11*T$9</f>
        <v>0</v>
      </c>
      <c r="U17" s="59">
        <f>U11*U$9</f>
        <v>0</v>
      </c>
      <c r="V17" s="59"/>
      <c r="W17" s="59">
        <f>SUM(S17:V17)</f>
        <v>1078.0899999999999</v>
      </c>
    </row>
    <row r="18" spans="5:23" x14ac:dyDescent="0.4">
      <c r="E18" s="342"/>
      <c r="F18" s="40"/>
      <c r="K18" s="68">
        <v>160000</v>
      </c>
      <c r="L18" s="59">
        <f t="shared" si="2"/>
        <v>1018.89</v>
      </c>
      <c r="M18" s="59">
        <f>M12*M$9</f>
        <v>0</v>
      </c>
      <c r="N18" s="59">
        <f>N12*N$9</f>
        <v>0</v>
      </c>
      <c r="O18" s="59"/>
      <c r="P18" s="59">
        <f>SUM(L18:O18)</f>
        <v>1018.89</v>
      </c>
      <c r="R18" s="68">
        <v>160000</v>
      </c>
      <c r="S18" s="59">
        <f t="shared" si="3"/>
        <v>1078.0899999999999</v>
      </c>
      <c r="T18" s="59">
        <f>T12*T$9</f>
        <v>0</v>
      </c>
      <c r="U18" s="59">
        <f>U12*U$9</f>
        <v>0</v>
      </c>
      <c r="V18" s="59"/>
      <c r="W18" s="59">
        <f>SUM(S18:V18)</f>
        <v>1078.0899999999999</v>
      </c>
    </row>
    <row r="19" spans="5:23" x14ac:dyDescent="0.4">
      <c r="E19" s="342"/>
      <c r="F19" s="40"/>
      <c r="K19" s="68">
        <v>180000</v>
      </c>
      <c r="L19" s="59">
        <f t="shared" si="2"/>
        <v>1018.89</v>
      </c>
      <c r="M19" s="59">
        <f>M13*M$9</f>
        <v>115.60000000000001</v>
      </c>
      <c r="N19" s="59">
        <f>N13*N$9</f>
        <v>0</v>
      </c>
      <c r="O19" s="59"/>
      <c r="P19" s="59">
        <f>SUM(L19:O19)</f>
        <v>1134.49</v>
      </c>
      <c r="R19" s="68">
        <v>180000</v>
      </c>
      <c r="S19" s="59">
        <f t="shared" si="3"/>
        <v>1078.0899999999999</v>
      </c>
      <c r="T19" s="59">
        <f>T13*T$9</f>
        <v>122.4</v>
      </c>
      <c r="U19" s="59">
        <f>U13*U$9</f>
        <v>0</v>
      </c>
      <c r="V19" s="59"/>
      <c r="W19" s="59">
        <f>SUM(S19:V19)</f>
        <v>1200.49</v>
      </c>
    </row>
    <row r="20" spans="5:23" x14ac:dyDescent="0.4">
      <c r="E20" s="342"/>
      <c r="F20" s="40"/>
      <c r="K20" s="68">
        <v>200000</v>
      </c>
      <c r="L20" s="59">
        <f t="shared" si="2"/>
        <v>1018.89</v>
      </c>
      <c r="M20" s="59">
        <f>M14*M$9</f>
        <v>231.20000000000002</v>
      </c>
      <c r="N20" s="59">
        <f>N14*N$9</f>
        <v>0</v>
      </c>
      <c r="O20" s="59"/>
      <c r="P20" s="59">
        <f>SUM(L20:O20)</f>
        <v>1250.0899999999999</v>
      </c>
      <c r="R20" s="68">
        <v>200000</v>
      </c>
      <c r="S20" s="59">
        <f t="shared" si="3"/>
        <v>1078.0899999999999</v>
      </c>
      <c r="T20" s="59">
        <f>T14*T$9</f>
        <v>244.8</v>
      </c>
      <c r="U20" s="59">
        <f>U14*U$9</f>
        <v>0</v>
      </c>
      <c r="V20" s="59"/>
      <c r="W20" s="59">
        <f>SUM(S20:V20)</f>
        <v>1322.8899999999999</v>
      </c>
    </row>
    <row r="21" spans="5:23" x14ac:dyDescent="0.4">
      <c r="E21" s="342"/>
      <c r="F21" s="40"/>
    </row>
    <row r="22" spans="5:23" x14ac:dyDescent="0.4">
      <c r="E22" s="342"/>
      <c r="F22" s="40"/>
    </row>
  </sheetData>
  <mergeCells count="2">
    <mergeCell ref="K7:P7"/>
    <mergeCell ref="R7:W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C9900-4376-4DE3-BC52-3F06FF780916}">
  <dimension ref="A1:K73"/>
  <sheetViews>
    <sheetView topLeftCell="A10" workbookViewId="0">
      <selection activeCell="E33" sqref="E33"/>
    </sheetView>
  </sheetViews>
  <sheetFormatPr defaultRowHeight="15" x14ac:dyDescent="0.4"/>
  <cols>
    <col min="1" max="1" width="3.21875" style="406" customWidth="1"/>
    <col min="2" max="2" width="27.44140625" style="406" bestFit="1" customWidth="1"/>
    <col min="3" max="3" width="12.21875" style="406" customWidth="1"/>
    <col min="4" max="4" width="3.21875" style="169" customWidth="1"/>
    <col min="5" max="5" width="10.5546875" style="406" bestFit="1" customWidth="1"/>
    <col min="6" max="6" width="10.6640625" style="406" bestFit="1" customWidth="1"/>
    <col min="7" max="7" width="9.33203125" style="406" bestFit="1" customWidth="1"/>
    <col min="8" max="8" width="10.88671875" style="406" customWidth="1"/>
    <col min="9" max="10" width="8.88671875" style="40"/>
    <col min="11" max="11" width="12" style="40" bestFit="1" customWidth="1"/>
    <col min="12" max="16384" width="8.88671875" style="40"/>
  </cols>
  <sheetData>
    <row r="1" spans="1:8" x14ac:dyDescent="0.4">
      <c r="A1" s="406" t="s">
        <v>270</v>
      </c>
    </row>
    <row r="2" spans="1:8" x14ac:dyDescent="0.4">
      <c r="A2" s="406" t="s">
        <v>271</v>
      </c>
      <c r="C2" s="170"/>
    </row>
    <row r="3" spans="1:8" x14ac:dyDescent="0.4">
      <c r="C3" s="170"/>
    </row>
    <row r="4" spans="1:8" x14ac:dyDescent="0.4">
      <c r="C4" s="170"/>
    </row>
    <row r="5" spans="1:8" x14ac:dyDescent="0.4">
      <c r="C5" s="170"/>
    </row>
    <row r="6" spans="1:8" x14ac:dyDescent="0.4">
      <c r="B6" s="406" t="s">
        <v>318</v>
      </c>
      <c r="C6" s="170"/>
    </row>
    <row r="7" spans="1:8" x14ac:dyDescent="0.4">
      <c r="B7" s="406" t="s">
        <v>319</v>
      </c>
      <c r="C7" s="170"/>
      <c r="H7" s="407">
        <f>-E48</f>
        <v>-19704.655059751196</v>
      </c>
    </row>
    <row r="8" spans="1:8" x14ac:dyDescent="0.4">
      <c r="B8" s="406" t="s">
        <v>320</v>
      </c>
      <c r="C8" s="170"/>
      <c r="H8" s="408">
        <f>-E49</f>
        <v>-826.2</v>
      </c>
    </row>
    <row r="9" spans="1:8" ht="15.4" thickBot="1" x14ac:dyDescent="0.45">
      <c r="B9" s="406" t="s">
        <v>54</v>
      </c>
      <c r="C9" s="170"/>
      <c r="H9" s="409">
        <f>SUM(H7:H8)</f>
        <v>-20530.855059751197</v>
      </c>
    </row>
    <row r="10" spans="1:8" ht="15.4" thickTop="1" x14ac:dyDescent="0.4">
      <c r="C10" s="170"/>
    </row>
    <row r="11" spans="1:8" x14ac:dyDescent="0.4">
      <c r="C11" s="170"/>
    </row>
    <row r="12" spans="1:8" x14ac:dyDescent="0.4">
      <c r="C12" s="170"/>
    </row>
    <row r="13" spans="1:8" x14ac:dyDescent="0.4">
      <c r="C13" s="170"/>
    </row>
    <row r="14" spans="1:8" x14ac:dyDescent="0.4">
      <c r="B14" s="406" t="s">
        <v>351</v>
      </c>
      <c r="C14" s="229"/>
      <c r="D14" s="230"/>
      <c r="H14" s="410">
        <f>'Emp Health &amp; Dentail Prem'!I32</f>
        <v>458657.76</v>
      </c>
    </row>
    <row r="15" spans="1:8" x14ac:dyDescent="0.4">
      <c r="B15" s="406" t="s">
        <v>352</v>
      </c>
      <c r="C15" s="229"/>
      <c r="D15" s="230"/>
      <c r="H15" s="411">
        <f>'Emp Health &amp; Dentail Prem'!I42</f>
        <v>32133.959999999995</v>
      </c>
    </row>
    <row r="16" spans="1:8" x14ac:dyDescent="0.4">
      <c r="B16" s="406" t="s">
        <v>353</v>
      </c>
      <c r="C16" s="229"/>
      <c r="D16" s="230"/>
      <c r="H16" s="410">
        <f>SUM(H14:H15)</f>
        <v>490791.72000000003</v>
      </c>
    </row>
    <row r="17" spans="2:8" x14ac:dyDescent="0.4">
      <c r="B17" s="406" t="s">
        <v>354</v>
      </c>
      <c r="C17" s="229"/>
      <c r="D17" s="230"/>
      <c r="H17" s="412">
        <f>H28</f>
        <v>5.7000000000000002E-2</v>
      </c>
    </row>
    <row r="18" spans="2:8" x14ac:dyDescent="0.4">
      <c r="B18" s="406" t="s">
        <v>407</v>
      </c>
      <c r="C18" s="229"/>
      <c r="D18" s="230"/>
      <c r="H18" s="410">
        <f>ROUND(H16*H17,0)</f>
        <v>27975</v>
      </c>
    </row>
    <row r="19" spans="2:8" x14ac:dyDescent="0.4">
      <c r="B19" s="406" t="s">
        <v>411</v>
      </c>
      <c r="C19" s="229"/>
      <c r="D19" s="230"/>
      <c r="H19" s="411">
        <f>-H24</f>
        <v>-27191.780761428799</v>
      </c>
    </row>
    <row r="20" spans="2:8" ht="15.4" thickBot="1" x14ac:dyDescent="0.45">
      <c r="B20" s="406" t="s">
        <v>154</v>
      </c>
      <c r="C20" s="229"/>
      <c r="D20" s="230"/>
      <c r="H20" s="413">
        <f>ROUND(SUM(H18:H19),0)</f>
        <v>783</v>
      </c>
    </row>
    <row r="21" spans="2:8" ht="15.4" thickTop="1" x14ac:dyDescent="0.4">
      <c r="C21" s="170"/>
      <c r="H21" s="410"/>
    </row>
    <row r="22" spans="2:8" x14ac:dyDescent="0.4">
      <c r="B22" s="406" t="s">
        <v>408</v>
      </c>
      <c r="H22" s="410">
        <f>E54</f>
        <v>25475.901941510001</v>
      </c>
    </row>
    <row r="23" spans="2:8" x14ac:dyDescent="0.4">
      <c r="B23" s="406" t="s">
        <v>409</v>
      </c>
      <c r="H23" s="411">
        <f>E55</f>
        <v>1715.8788199187998</v>
      </c>
    </row>
    <row r="24" spans="2:8" ht="15.4" thickBot="1" x14ac:dyDescent="0.45">
      <c r="B24" s="406" t="s">
        <v>406</v>
      </c>
      <c r="H24" s="409">
        <f>SUM(H22:H23)</f>
        <v>27191.780761428799</v>
      </c>
    </row>
    <row r="25" spans="2:8" ht="15.4" thickTop="1" x14ac:dyDescent="0.4"/>
    <row r="26" spans="2:8" x14ac:dyDescent="0.4">
      <c r="B26" s="406" t="s">
        <v>404</v>
      </c>
      <c r="D26" s="230"/>
      <c r="H26" s="229">
        <f>'Emp Sal &amp; Wages'!AN84</f>
        <v>8222.0845313570553</v>
      </c>
    </row>
    <row r="27" spans="2:8" x14ac:dyDescent="0.4">
      <c r="B27" s="406" t="s">
        <v>405</v>
      </c>
      <c r="D27" s="230"/>
      <c r="H27" s="231">
        <f>'Emp Sal &amp; Wages'!AO84</f>
        <v>143520</v>
      </c>
    </row>
    <row r="28" spans="2:8" ht="15.4" thickBot="1" x14ac:dyDescent="0.45">
      <c r="B28" s="406" t="s">
        <v>355</v>
      </c>
      <c r="D28" s="230"/>
      <c r="H28" s="414">
        <f>ROUND(H26/H27,3)</f>
        <v>5.7000000000000002E-2</v>
      </c>
    </row>
    <row r="29" spans="2:8" ht="15.4" thickTop="1" x14ac:dyDescent="0.4">
      <c r="D29" s="230"/>
      <c r="H29" s="232"/>
    </row>
    <row r="30" spans="2:8" x14ac:dyDescent="0.4">
      <c r="C30" s="415" t="s">
        <v>51</v>
      </c>
      <c r="D30" s="230"/>
      <c r="E30" s="416" t="s">
        <v>356</v>
      </c>
      <c r="H30" s="232"/>
    </row>
    <row r="31" spans="2:8" x14ac:dyDescent="0.4">
      <c r="C31" s="229" t="s">
        <v>357</v>
      </c>
      <c r="D31" s="230"/>
      <c r="E31" s="416" t="s">
        <v>358</v>
      </c>
    </row>
    <row r="32" spans="2:8" x14ac:dyDescent="0.4">
      <c r="B32" s="406" t="s">
        <v>284</v>
      </c>
      <c r="C32" s="407">
        <f>'Emp Sal &amp; Wages'!L90</f>
        <v>281271.2300000001</v>
      </c>
      <c r="D32" s="230"/>
      <c r="E32" s="417">
        <v>7.0000000000000007E-2</v>
      </c>
      <c r="H32" s="229">
        <f>ROUND(C32*E32,0)</f>
        <v>19689</v>
      </c>
    </row>
    <row r="33" spans="1:11" x14ac:dyDescent="0.4">
      <c r="B33" s="406" t="s">
        <v>359</v>
      </c>
      <c r="C33" s="229">
        <f>C32</f>
        <v>281271.2300000001</v>
      </c>
      <c r="D33" s="230"/>
      <c r="E33" s="418">
        <v>0.1283</v>
      </c>
      <c r="H33" s="408">
        <f>ROUND(C33*E33,0)</f>
        <v>36087</v>
      </c>
    </row>
    <row r="34" spans="1:11" x14ac:dyDescent="0.4">
      <c r="B34" s="406" t="s">
        <v>360</v>
      </c>
      <c r="C34" s="229"/>
      <c r="D34" s="230"/>
      <c r="H34" s="419">
        <f>SUM(H32:H33)</f>
        <v>55776</v>
      </c>
      <c r="K34" s="221">
        <f>C32</f>
        <v>281271.2300000001</v>
      </c>
    </row>
    <row r="35" spans="1:11" x14ac:dyDescent="0.4">
      <c r="B35" s="406" t="s">
        <v>361</v>
      </c>
      <c r="C35" s="229"/>
      <c r="D35" s="230"/>
      <c r="H35" s="408">
        <f>-E53-E58</f>
        <v>-43779.749331392391</v>
      </c>
      <c r="K35" s="420">
        <v>0.57999999999999996</v>
      </c>
    </row>
    <row r="36" spans="1:11" ht="15.4" thickBot="1" x14ac:dyDescent="0.45">
      <c r="B36" s="406" t="s">
        <v>362</v>
      </c>
      <c r="C36" s="229"/>
      <c r="D36" s="230"/>
      <c r="H36" s="409">
        <f>ROUND(SUM(H34:H35),0)</f>
        <v>11996</v>
      </c>
      <c r="K36" s="40">
        <f>ROUND(K34*K35,0)</f>
        <v>163137</v>
      </c>
    </row>
    <row r="37" spans="1:11" ht="15.4" thickTop="1" x14ac:dyDescent="0.4">
      <c r="C37" s="229"/>
      <c r="D37" s="230"/>
    </row>
    <row r="38" spans="1:11" x14ac:dyDescent="0.4">
      <c r="C38" s="229"/>
      <c r="D38" s="230"/>
    </row>
    <row r="39" spans="1:11" x14ac:dyDescent="0.4">
      <c r="B39" s="406" t="s">
        <v>284</v>
      </c>
      <c r="C39" s="229"/>
      <c r="D39" s="230"/>
      <c r="H39" s="419">
        <f>E53</f>
        <v>12736.827568996399</v>
      </c>
    </row>
    <row r="40" spans="1:11" x14ac:dyDescent="0.4">
      <c r="B40" s="406" t="s">
        <v>359</v>
      </c>
      <c r="C40" s="229"/>
      <c r="D40" s="230"/>
      <c r="H40" s="408">
        <f>E58</f>
        <v>31042.921762395996</v>
      </c>
    </row>
    <row r="41" spans="1:11" ht="15.4" thickBot="1" x14ac:dyDescent="0.45">
      <c r="B41" s="406" t="s">
        <v>410</v>
      </c>
      <c r="C41" s="229"/>
      <c r="D41" s="230"/>
      <c r="H41" s="409">
        <f>SUM(H39:H40)</f>
        <v>43779.749331392391</v>
      </c>
    </row>
    <row r="42" spans="1:11" ht="15.4" thickTop="1" x14ac:dyDescent="0.4">
      <c r="C42" s="170"/>
    </row>
    <row r="43" spans="1:11" x14ac:dyDescent="0.4">
      <c r="A43" s="406" t="s">
        <v>272</v>
      </c>
      <c r="C43" s="419"/>
    </row>
    <row r="44" spans="1:11" x14ac:dyDescent="0.4">
      <c r="B44" s="421"/>
    </row>
    <row r="45" spans="1:11" x14ac:dyDescent="0.4">
      <c r="B45" s="421"/>
    </row>
    <row r="46" spans="1:11" x14ac:dyDescent="0.4">
      <c r="A46" s="456" t="s">
        <v>273</v>
      </c>
      <c r="B46" s="456"/>
      <c r="C46" s="456"/>
      <c r="E46" s="457" t="s">
        <v>274</v>
      </c>
      <c r="F46" s="457"/>
      <c r="G46" s="457"/>
      <c r="H46" s="457"/>
    </row>
    <row r="47" spans="1:11" x14ac:dyDescent="0.4">
      <c r="A47" s="422" t="s">
        <v>99</v>
      </c>
      <c r="B47" s="423" t="s">
        <v>275</v>
      </c>
      <c r="C47" s="422" t="s">
        <v>54</v>
      </c>
      <c r="D47" s="171"/>
      <c r="E47" s="422" t="s">
        <v>153</v>
      </c>
      <c r="F47" s="422" t="s">
        <v>226</v>
      </c>
      <c r="G47" s="422" t="s">
        <v>276</v>
      </c>
      <c r="H47" s="422" t="s">
        <v>54</v>
      </c>
    </row>
    <row r="48" spans="1:11" x14ac:dyDescent="0.4">
      <c r="A48" s="415" t="s">
        <v>277</v>
      </c>
      <c r="B48" s="406" t="s">
        <v>278</v>
      </c>
      <c r="C48" s="172">
        <v>368518.91999999993</v>
      </c>
      <c r="D48" s="173"/>
      <c r="E48" s="172">
        <v>19704.655059751196</v>
      </c>
      <c r="F48" s="172">
        <v>11397.759528355198</v>
      </c>
      <c r="G48" s="172">
        <v>663.91631589359986</v>
      </c>
      <c r="H48" s="172">
        <f>SUM(E48:G48)</f>
        <v>31766.330903999995</v>
      </c>
    </row>
    <row r="49" spans="1:8" x14ac:dyDescent="0.4">
      <c r="A49" s="415" t="s">
        <v>279</v>
      </c>
      <c r="B49" s="406" t="s">
        <v>280</v>
      </c>
      <c r="C49" s="170">
        <v>0</v>
      </c>
      <c r="E49" s="170">
        <v>826.2</v>
      </c>
      <c r="F49" s="170">
        <v>0</v>
      </c>
      <c r="G49" s="170">
        <v>0</v>
      </c>
      <c r="H49" s="419">
        <f>SUM(E49:G49)</f>
        <v>826.2</v>
      </c>
    </row>
    <row r="50" spans="1:8" x14ac:dyDescent="0.4">
      <c r="A50" s="415">
        <v>2</v>
      </c>
      <c r="B50" s="406" t="s">
        <v>281</v>
      </c>
      <c r="C50" s="170">
        <v>15291.04</v>
      </c>
      <c r="E50" s="170">
        <v>817.60976805439986</v>
      </c>
      <c r="F50" s="170">
        <v>472.9298481024</v>
      </c>
      <c r="G50" s="170">
        <v>27.548031843199997</v>
      </c>
      <c r="H50" s="419">
        <f t="shared" ref="H50:H63" si="0">SUM(E50:G50)</f>
        <v>1318.0876479999999</v>
      </c>
    </row>
    <row r="51" spans="1:8" x14ac:dyDescent="0.4">
      <c r="A51" s="415">
        <v>3</v>
      </c>
      <c r="B51" s="406" t="s">
        <v>282</v>
      </c>
      <c r="C51" s="170">
        <v>16467.41</v>
      </c>
      <c r="E51" s="170">
        <v>880.51010726259994</v>
      </c>
      <c r="F51" s="170">
        <v>509.31327822959997</v>
      </c>
      <c r="G51" s="170">
        <v>29.667356507799997</v>
      </c>
      <c r="H51" s="419">
        <f t="shared" si="0"/>
        <v>1419.490742</v>
      </c>
    </row>
    <row r="52" spans="1:8" x14ac:dyDescent="0.4">
      <c r="A52" s="415">
        <f>+A51+1</f>
        <v>4</v>
      </c>
      <c r="B52" s="406" t="s">
        <v>283</v>
      </c>
      <c r="C52" s="170">
        <v>157579.48000000001</v>
      </c>
      <c r="E52" s="170">
        <v>8425.7527344727987</v>
      </c>
      <c r="F52" s="170">
        <v>4873.7064019487998</v>
      </c>
      <c r="G52" s="170">
        <v>283.89203957839999</v>
      </c>
      <c r="H52" s="419">
        <f t="shared" si="0"/>
        <v>13583.351176</v>
      </c>
    </row>
    <row r="53" spans="1:8" x14ac:dyDescent="0.4">
      <c r="A53" s="415">
        <v>5</v>
      </c>
      <c r="B53" s="406" t="s">
        <v>284</v>
      </c>
      <c r="C53" s="170">
        <v>238205.74000000002</v>
      </c>
      <c r="E53" s="170">
        <v>12736.827568996399</v>
      </c>
      <c r="F53" s="170">
        <v>7367.3605219343999</v>
      </c>
      <c r="G53" s="170">
        <v>429.14669706919994</v>
      </c>
      <c r="H53" s="419">
        <f t="shared" si="0"/>
        <v>20533.334788</v>
      </c>
    </row>
    <row r="54" spans="1:8" x14ac:dyDescent="0.4">
      <c r="A54" s="415">
        <f>+A53+1</f>
        <v>6</v>
      </c>
      <c r="B54" s="406" t="s">
        <v>285</v>
      </c>
      <c r="C54" s="170">
        <v>476453.50000000006</v>
      </c>
      <c r="E54" s="170">
        <v>25475.901941510001</v>
      </c>
      <c r="F54" s="170">
        <v>14736.020661960001</v>
      </c>
      <c r="G54" s="170">
        <v>858.36909652999998</v>
      </c>
      <c r="H54" s="419">
        <f t="shared" si="0"/>
        <v>41070.291700000002</v>
      </c>
    </row>
    <row r="55" spans="1:8" x14ac:dyDescent="0.4">
      <c r="A55" s="415">
        <f>+A54+1</f>
        <v>7</v>
      </c>
      <c r="B55" s="406" t="s">
        <v>286</v>
      </c>
      <c r="C55" s="170">
        <v>32090.579999999998</v>
      </c>
      <c r="E55" s="170">
        <v>1715.8788199187998</v>
      </c>
      <c r="F55" s="170">
        <v>992.51542896479987</v>
      </c>
      <c r="G55" s="170">
        <v>57.813747116399988</v>
      </c>
      <c r="H55" s="419">
        <f t="shared" si="0"/>
        <v>2766.2079959999996</v>
      </c>
    </row>
    <row r="56" spans="1:8" x14ac:dyDescent="0.4">
      <c r="A56" s="415">
        <f>+A55+1</f>
        <v>8</v>
      </c>
      <c r="B56" s="406" t="s">
        <v>287</v>
      </c>
      <c r="C56" s="170">
        <v>20227.62</v>
      </c>
      <c r="E56" s="170">
        <v>1081.5680095331998</v>
      </c>
      <c r="F56" s="170">
        <v>625.61115882719992</v>
      </c>
      <c r="G56" s="170">
        <v>36.441675639599993</v>
      </c>
      <c r="H56" s="419">
        <f t="shared" si="0"/>
        <v>1743.6208439999996</v>
      </c>
    </row>
    <row r="57" spans="1:8" x14ac:dyDescent="0.4">
      <c r="A57" s="415">
        <f t="shared" ref="A57:A62" si="1">+A56+1</f>
        <v>9</v>
      </c>
      <c r="B57" s="406" t="s">
        <v>288</v>
      </c>
      <c r="C57" s="170">
        <v>9468.2999999999993</v>
      </c>
      <c r="E57" s="170">
        <v>506.26867543799989</v>
      </c>
      <c r="F57" s="170">
        <v>292.84088464799999</v>
      </c>
      <c r="G57" s="170">
        <v>17.057899913999996</v>
      </c>
      <c r="H57" s="419">
        <f t="shared" si="0"/>
        <v>816.16745999999989</v>
      </c>
    </row>
    <row r="58" spans="1:8" x14ac:dyDescent="0.4">
      <c r="A58" s="415">
        <f t="shared" si="1"/>
        <v>10</v>
      </c>
      <c r="B58" s="406" t="s">
        <v>289</v>
      </c>
      <c r="C58" s="170">
        <v>580568.6</v>
      </c>
      <c r="E58" s="170">
        <v>31042.921762395996</v>
      </c>
      <c r="F58" s="170">
        <v>17956.150779216001</v>
      </c>
      <c r="G58" s="170">
        <v>1045.9407783879999</v>
      </c>
      <c r="H58" s="419">
        <f>SUM(E58:G58)</f>
        <v>50045.013319999998</v>
      </c>
    </row>
    <row r="59" spans="1:8" x14ac:dyDescent="0.4">
      <c r="A59" s="415">
        <v>11</v>
      </c>
      <c r="B59" s="406" t="s">
        <v>290</v>
      </c>
      <c r="C59" s="170">
        <v>7900</v>
      </c>
      <c r="E59" s="170">
        <v>422.41189399999996</v>
      </c>
      <c r="F59" s="170">
        <v>244.33562400000002</v>
      </c>
      <c r="G59" s="170">
        <v>14.232481999999999</v>
      </c>
      <c r="H59" s="419">
        <f t="shared" si="0"/>
        <v>680.98</v>
      </c>
    </row>
    <row r="60" spans="1:8" x14ac:dyDescent="0.4">
      <c r="A60" s="415">
        <f>+A59+1</f>
        <v>12</v>
      </c>
      <c r="B60" s="406" t="s">
        <v>291</v>
      </c>
      <c r="C60" s="170">
        <v>5710.32</v>
      </c>
      <c r="E60" s="170">
        <v>305.33001095519995</v>
      </c>
      <c r="F60" s="170">
        <v>176.61197473920001</v>
      </c>
      <c r="G60" s="170">
        <v>10.2875983056</v>
      </c>
      <c r="H60" s="419">
        <f t="shared" si="0"/>
        <v>492.22958399999993</v>
      </c>
    </row>
    <row r="61" spans="1:8" x14ac:dyDescent="0.4">
      <c r="A61" s="415">
        <f t="shared" si="1"/>
        <v>13</v>
      </c>
      <c r="B61" s="406" t="s">
        <v>292</v>
      </c>
      <c r="C61" s="170">
        <v>298555.41000000003</v>
      </c>
      <c r="E61" s="170">
        <v>15963.715974942601</v>
      </c>
      <c r="F61" s="170">
        <v>9233.8889115096008</v>
      </c>
      <c r="G61" s="170">
        <v>537.8714555478</v>
      </c>
      <c r="H61" s="419">
        <f t="shared" si="0"/>
        <v>25735.476342000002</v>
      </c>
    </row>
    <row r="62" spans="1:8" x14ac:dyDescent="0.4">
      <c r="A62" s="415">
        <f t="shared" si="1"/>
        <v>14</v>
      </c>
      <c r="B62" s="406" t="s">
        <v>293</v>
      </c>
      <c r="C62" s="170">
        <v>11776.96</v>
      </c>
      <c r="E62" s="170">
        <v>629.71240242559986</v>
      </c>
      <c r="F62" s="170">
        <v>364.24441397759995</v>
      </c>
      <c r="G62" s="170">
        <v>21.217135596799995</v>
      </c>
      <c r="H62" s="419">
        <f t="shared" si="0"/>
        <v>1015.1739519999998</v>
      </c>
    </row>
    <row r="63" spans="1:8" x14ac:dyDescent="0.4">
      <c r="A63" s="415">
        <v>16</v>
      </c>
      <c r="B63" s="406" t="s">
        <v>294</v>
      </c>
      <c r="C63" s="408">
        <v>163797.54</v>
      </c>
      <c r="E63" s="174">
        <v>8758.2315321444003</v>
      </c>
      <c r="F63" s="174">
        <v>5066.0220437424005</v>
      </c>
      <c r="G63" s="174">
        <v>295.0943721132</v>
      </c>
      <c r="H63" s="408">
        <f t="shared" si="0"/>
        <v>14119.347948000001</v>
      </c>
    </row>
    <row r="64" spans="1:8" x14ac:dyDescent="0.4">
      <c r="B64" s="424" t="s">
        <v>295</v>
      </c>
      <c r="C64" s="172">
        <f>SUM(C48:C63)</f>
        <v>2402611.42</v>
      </c>
      <c r="E64" s="172">
        <f>SUM(E48:E63)</f>
        <v>129293.49626180121</v>
      </c>
      <c r="F64" s="172">
        <f>SUM(F48:F63)</f>
        <v>74309.311460155208</v>
      </c>
      <c r="G64" s="172">
        <f>SUM(G48:G63)</f>
        <v>4328.4966820435993</v>
      </c>
      <c r="H64" s="172">
        <f>SUM(H48:H63)+0.01</f>
        <v>207931.31440400003</v>
      </c>
    </row>
    <row r="65" spans="1:8" x14ac:dyDescent="0.4">
      <c r="A65" s="415">
        <v>17</v>
      </c>
      <c r="B65" s="406" t="s">
        <v>296</v>
      </c>
      <c r="C65" s="419">
        <v>16856.026999999704</v>
      </c>
      <c r="E65" s="170">
        <v>885.28297484620396</v>
      </c>
      <c r="F65" s="170">
        <v>528.88715843111083</v>
      </c>
      <c r="G65" s="170">
        <v>39.379394122659463</v>
      </c>
      <c r="H65" s="419">
        <f>SUM(E65:G65)</f>
        <v>1453.5495273999743</v>
      </c>
    </row>
    <row r="66" spans="1:8" x14ac:dyDescent="0.4">
      <c r="A66" s="415">
        <v>18</v>
      </c>
      <c r="B66" s="406" t="s">
        <v>297</v>
      </c>
      <c r="C66" s="408">
        <v>6060.7980000005628</v>
      </c>
      <c r="E66" s="174">
        <v>324.07002054831003</v>
      </c>
      <c r="F66" s="174">
        <v>187.45175459089739</v>
      </c>
      <c r="G66" s="174">
        <v>10.919012460841012</v>
      </c>
      <c r="H66" s="408">
        <f>SUM(E66:G66)</f>
        <v>522.44078760004845</v>
      </c>
    </row>
    <row r="67" spans="1:8" ht="17.25" thickBot="1" x14ac:dyDescent="0.7">
      <c r="A67" s="415"/>
      <c r="B67" s="424" t="s">
        <v>298</v>
      </c>
      <c r="C67" s="175">
        <f>SUM(C64:C66)</f>
        <v>2425528.2450000001</v>
      </c>
      <c r="D67" s="176"/>
      <c r="E67" s="173">
        <f>SUM(E64:E66)</f>
        <v>130502.84925719573</v>
      </c>
      <c r="F67" s="173">
        <f t="shared" ref="F67:H67" si="2">SUM(F64:F66)</f>
        <v>75025.650373177225</v>
      </c>
      <c r="G67" s="173">
        <f t="shared" si="2"/>
        <v>4378.7950886271001</v>
      </c>
      <c r="H67" s="173">
        <f t="shared" si="2"/>
        <v>209907.30471900007</v>
      </c>
    </row>
    <row r="68" spans="1:8" ht="15.4" thickTop="1" x14ac:dyDescent="0.4">
      <c r="A68" s="415">
        <v>19</v>
      </c>
      <c r="B68" s="424" t="s">
        <v>299</v>
      </c>
      <c r="C68" s="173"/>
      <c r="E68" s="174">
        <v>-17892.84</v>
      </c>
      <c r="F68" s="174">
        <v>-12434.16</v>
      </c>
      <c r="G68" s="174">
        <v>0</v>
      </c>
      <c r="H68" s="425">
        <f>SUM(E68:G68)</f>
        <v>-30327</v>
      </c>
    </row>
    <row r="69" spans="1:8" ht="15.4" thickBot="1" x14ac:dyDescent="0.45">
      <c r="B69" s="424" t="s">
        <v>300</v>
      </c>
      <c r="C69" s="407"/>
      <c r="E69" s="175">
        <f>+E67+E68</f>
        <v>112610.00925719574</v>
      </c>
      <c r="F69" s="426">
        <f>+F67+F68</f>
        <v>62591.490373177221</v>
      </c>
      <c r="G69" s="426">
        <f>+G67+G68</f>
        <v>4378.7950886271001</v>
      </c>
      <c r="H69" s="427">
        <f>+H67+H68</f>
        <v>179580.30471900007</v>
      </c>
    </row>
    <row r="70" spans="1:8" ht="15.4" thickTop="1" x14ac:dyDescent="0.4">
      <c r="B70" s="416"/>
      <c r="C70" s="407"/>
      <c r="E70" s="177" t="s">
        <v>301</v>
      </c>
      <c r="F70" s="407"/>
      <c r="G70" s="407"/>
      <c r="H70" s="428"/>
    </row>
    <row r="71" spans="1:8" x14ac:dyDescent="0.4">
      <c r="D71" s="406"/>
      <c r="E71" s="415" t="s">
        <v>97</v>
      </c>
    </row>
    <row r="73" spans="1:8" x14ac:dyDescent="0.4">
      <c r="C73" s="170"/>
    </row>
  </sheetData>
  <mergeCells count="2">
    <mergeCell ref="A46:C46"/>
    <mergeCell ref="E46:H4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9782E-83AB-4552-8885-0848AB87DE3B}">
  <dimension ref="A1:K43"/>
  <sheetViews>
    <sheetView workbookViewId="0">
      <selection activeCell="A18" sqref="A1:XFD1048576"/>
    </sheetView>
  </sheetViews>
  <sheetFormatPr defaultRowHeight="15" x14ac:dyDescent="0.4"/>
  <cols>
    <col min="1" max="1" width="28" bestFit="1" customWidth="1"/>
    <col min="3" max="3" width="6.5546875" bestFit="1" customWidth="1"/>
    <col min="4" max="4" width="9.6640625" bestFit="1" customWidth="1"/>
    <col min="5" max="5" width="1.77734375" customWidth="1"/>
    <col min="6" max="7" width="14.77734375" customWidth="1"/>
    <col min="8" max="8" width="1.77734375" customWidth="1"/>
    <col min="9" max="11" width="14.77734375" style="113" customWidth="1"/>
  </cols>
  <sheetData>
    <row r="1" spans="1:10" x14ac:dyDescent="0.4">
      <c r="A1" t="s">
        <v>302</v>
      </c>
    </row>
    <row r="2" spans="1:10" x14ac:dyDescent="0.4">
      <c r="A2" t="s">
        <v>303</v>
      </c>
    </row>
    <row r="3" spans="1:10" x14ac:dyDescent="0.4">
      <c r="A3" t="s">
        <v>304</v>
      </c>
    </row>
    <row r="5" spans="1:10" x14ac:dyDescent="0.4">
      <c r="A5" s="459" t="s">
        <v>52</v>
      </c>
      <c r="B5" s="459"/>
      <c r="C5" s="459"/>
      <c r="D5" s="459"/>
      <c r="E5" s="459"/>
      <c r="F5" s="459"/>
      <c r="G5" s="459"/>
      <c r="H5" s="459"/>
      <c r="I5" s="459"/>
      <c r="J5" s="459"/>
    </row>
    <row r="6" spans="1:10" ht="15.4" x14ac:dyDescent="0.45">
      <c r="A6" s="304" t="s">
        <v>305</v>
      </c>
      <c r="B6" s="185"/>
      <c r="C6" s="305" t="s">
        <v>306</v>
      </c>
      <c r="D6" s="305" t="s">
        <v>402</v>
      </c>
      <c r="F6" s="111" t="s">
        <v>307</v>
      </c>
      <c r="G6" s="181" t="s">
        <v>308</v>
      </c>
      <c r="I6" s="458" t="s">
        <v>123</v>
      </c>
      <c r="J6" s="458"/>
    </row>
    <row r="7" spans="1:10" x14ac:dyDescent="0.4">
      <c r="A7" s="182" t="s">
        <v>309</v>
      </c>
      <c r="B7" s="183" t="s">
        <v>310</v>
      </c>
      <c r="C7" s="183" t="s">
        <v>311</v>
      </c>
      <c r="D7" s="183" t="s">
        <v>312</v>
      </c>
      <c r="F7" s="302">
        <v>0.7</v>
      </c>
      <c r="G7" s="302">
        <v>0.3</v>
      </c>
      <c r="I7" s="303" t="s">
        <v>403</v>
      </c>
      <c r="J7" s="303" t="s">
        <v>68</v>
      </c>
    </row>
    <row r="8" spans="1:10" x14ac:dyDescent="0.4">
      <c r="A8" s="184" t="s">
        <v>313</v>
      </c>
      <c r="B8" s="185"/>
      <c r="C8" s="295">
        <v>11</v>
      </c>
      <c r="D8" s="296">
        <v>1352.87</v>
      </c>
      <c r="F8" s="113">
        <f>ROUND($D8*F$7,2)</f>
        <v>947.01</v>
      </c>
      <c r="G8" s="113">
        <f>ROUND($D8*G$7,2)</f>
        <v>405.86</v>
      </c>
      <c r="I8" s="113">
        <f>$C8*F8*12</f>
        <v>125005.32</v>
      </c>
      <c r="J8" s="113">
        <f>$C8*G8*12</f>
        <v>53573.520000000004</v>
      </c>
    </row>
    <row r="9" spans="1:10" x14ac:dyDescent="0.4">
      <c r="A9" s="186" t="s">
        <v>314</v>
      </c>
      <c r="B9" s="185"/>
      <c r="C9" s="295">
        <v>6</v>
      </c>
      <c r="D9" s="297">
        <v>860.33</v>
      </c>
      <c r="F9" s="113">
        <f t="shared" ref="F9:G11" si="0">ROUND($D9*F$7,2)</f>
        <v>602.23</v>
      </c>
      <c r="G9" s="113">
        <f t="shared" si="0"/>
        <v>258.10000000000002</v>
      </c>
      <c r="I9" s="113">
        <f t="shared" ref="I9:J11" si="1">$C9*F9*12</f>
        <v>43360.56</v>
      </c>
      <c r="J9" s="113">
        <f t="shared" si="1"/>
        <v>18583.2</v>
      </c>
    </row>
    <row r="10" spans="1:10" x14ac:dyDescent="0.4">
      <c r="A10" s="186" t="s">
        <v>315</v>
      </c>
      <c r="B10" s="185"/>
      <c r="C10" s="295">
        <v>6</v>
      </c>
      <c r="D10" s="297">
        <v>977.55</v>
      </c>
      <c r="F10" s="113">
        <f t="shared" si="0"/>
        <v>684.29</v>
      </c>
      <c r="G10" s="113">
        <f t="shared" si="0"/>
        <v>293.27</v>
      </c>
      <c r="I10" s="113">
        <f t="shared" si="1"/>
        <v>49268.88</v>
      </c>
      <c r="J10" s="113">
        <f t="shared" si="1"/>
        <v>21115.439999999999</v>
      </c>
    </row>
    <row r="11" spans="1:10" x14ac:dyDescent="0.4">
      <c r="A11" s="187" t="s">
        <v>316</v>
      </c>
      <c r="B11" s="188"/>
      <c r="C11" s="298">
        <v>30</v>
      </c>
      <c r="D11" s="299">
        <v>537.71</v>
      </c>
      <c r="F11" s="300">
        <f t="shared" si="0"/>
        <v>376.4</v>
      </c>
      <c r="G11" s="300">
        <f t="shared" si="0"/>
        <v>161.31</v>
      </c>
      <c r="I11" s="300">
        <f t="shared" si="1"/>
        <v>135504</v>
      </c>
      <c r="J11" s="300">
        <f t="shared" si="1"/>
        <v>58071.600000000006</v>
      </c>
    </row>
    <row r="12" spans="1:10" x14ac:dyDescent="0.4">
      <c r="C12" s="58">
        <f>SUM(C8:C11)</f>
        <v>53</v>
      </c>
      <c r="D12" s="189">
        <f>SUM(D8:D11)</f>
        <v>3728.46</v>
      </c>
      <c r="F12" s="189">
        <f>SUM(F8:F11)</f>
        <v>2609.9299999999998</v>
      </c>
      <c r="G12" s="189">
        <f>SUM(G8:G11)</f>
        <v>1118.54</v>
      </c>
      <c r="H12" s="189"/>
      <c r="I12" s="113">
        <f>SUM(I8:I11)</f>
        <v>353138.76</v>
      </c>
      <c r="J12" s="113">
        <f>SUM(J8:J11)</f>
        <v>151343.76</v>
      </c>
    </row>
    <row r="13" spans="1:10" x14ac:dyDescent="0.4">
      <c r="C13" s="301"/>
      <c r="G13" s="189">
        <f>SUM(F12:G12)</f>
        <v>3728.47</v>
      </c>
      <c r="J13" s="189">
        <f>SUM(I12:J12)</f>
        <v>504482.52</v>
      </c>
    </row>
    <row r="14" spans="1:10" x14ac:dyDescent="0.4">
      <c r="B14" s="190"/>
    </row>
    <row r="16" spans="1:10" ht="15.4" x14ac:dyDescent="0.45">
      <c r="A16" s="178" t="s">
        <v>317</v>
      </c>
      <c r="B16" s="179"/>
      <c r="C16" s="180" t="s">
        <v>306</v>
      </c>
      <c r="D16" s="180" t="s">
        <v>402</v>
      </c>
      <c r="F16" s="111" t="s">
        <v>307</v>
      </c>
      <c r="G16" s="181" t="s">
        <v>308</v>
      </c>
      <c r="I16" s="458" t="s">
        <v>123</v>
      </c>
      <c r="J16" s="458"/>
    </row>
    <row r="17" spans="1:10" x14ac:dyDescent="0.4">
      <c r="A17" s="182" t="s">
        <v>309</v>
      </c>
      <c r="B17" s="183" t="s">
        <v>310</v>
      </c>
      <c r="C17" s="183" t="s">
        <v>311</v>
      </c>
      <c r="D17" s="183" t="s">
        <v>312</v>
      </c>
      <c r="F17" s="302">
        <v>0.7</v>
      </c>
      <c r="G17" s="302">
        <v>0.3</v>
      </c>
      <c r="I17" s="303" t="s">
        <v>403</v>
      </c>
      <c r="J17" s="303" t="s">
        <v>68</v>
      </c>
    </row>
    <row r="18" spans="1:10" x14ac:dyDescent="0.4">
      <c r="A18" s="184" t="s">
        <v>313</v>
      </c>
      <c r="B18" s="185"/>
      <c r="C18" s="295">
        <v>19</v>
      </c>
      <c r="D18" s="296">
        <v>109.55</v>
      </c>
      <c r="F18" s="113">
        <f>ROUND($D18*F$17,2)</f>
        <v>76.69</v>
      </c>
      <c r="G18" s="113">
        <f>ROUND($D18*G$17,2)</f>
        <v>32.869999999999997</v>
      </c>
      <c r="I18" s="113">
        <f>$C18*F18*12</f>
        <v>17485.32</v>
      </c>
      <c r="J18" s="113">
        <f>$C18*G18*12</f>
        <v>7494.36</v>
      </c>
    </row>
    <row r="19" spans="1:10" x14ac:dyDescent="0.4">
      <c r="A19" s="186" t="s">
        <v>314</v>
      </c>
      <c r="B19" s="185"/>
      <c r="C19" s="295">
        <v>5</v>
      </c>
      <c r="D19" s="297">
        <v>77.87</v>
      </c>
      <c r="F19" s="113">
        <f t="shared" ref="F19:G21" si="2">ROUND($D19*F$17,2)</f>
        <v>54.51</v>
      </c>
      <c r="G19" s="113">
        <f t="shared" si="2"/>
        <v>23.36</v>
      </c>
      <c r="I19" s="113">
        <f t="shared" ref="I19:I21" si="3">$C19*F19*12</f>
        <v>3270.6000000000004</v>
      </c>
      <c r="J19" s="113">
        <f t="shared" ref="J19:J21" si="4">$C19*G19*12</f>
        <v>1401.6</v>
      </c>
    </row>
    <row r="20" spans="1:10" x14ac:dyDescent="0.4">
      <c r="A20" s="186" t="s">
        <v>315</v>
      </c>
      <c r="B20" s="185"/>
      <c r="C20" s="295">
        <v>10</v>
      </c>
      <c r="D20" s="297">
        <v>66.260000000000005</v>
      </c>
      <c r="F20" s="113">
        <f t="shared" si="2"/>
        <v>46.38</v>
      </c>
      <c r="G20" s="113">
        <f t="shared" si="2"/>
        <v>19.88</v>
      </c>
      <c r="I20" s="113">
        <f t="shared" si="3"/>
        <v>5565.6</v>
      </c>
      <c r="J20" s="113">
        <f t="shared" si="4"/>
        <v>2385.6</v>
      </c>
    </row>
    <row r="21" spans="1:10" x14ac:dyDescent="0.4">
      <c r="A21" s="187" t="s">
        <v>316</v>
      </c>
      <c r="B21" s="188"/>
      <c r="C21" s="298">
        <v>20</v>
      </c>
      <c r="D21" s="299">
        <v>31.98</v>
      </c>
      <c r="F21" s="113">
        <f t="shared" si="2"/>
        <v>22.39</v>
      </c>
      <c r="G21" s="113">
        <f t="shared" si="2"/>
        <v>9.59</v>
      </c>
      <c r="I21" s="300">
        <f t="shared" si="3"/>
        <v>5373.6</v>
      </c>
      <c r="J21" s="300">
        <f t="shared" si="4"/>
        <v>2301.6000000000004</v>
      </c>
    </row>
    <row r="22" spans="1:10" x14ac:dyDescent="0.4">
      <c r="C22" s="58">
        <f>SUM(C18:C21)</f>
        <v>54</v>
      </c>
      <c r="D22" s="189">
        <f>SUM(D18:D21)</f>
        <v>285.66000000000003</v>
      </c>
      <c r="F22" s="189">
        <f>SUM(F18:F21)</f>
        <v>199.96999999999997</v>
      </c>
      <c r="G22" s="189">
        <f>SUM(G18:G21)</f>
        <v>85.7</v>
      </c>
      <c r="H22" s="189"/>
      <c r="I22" s="113">
        <f>SUM(I18:I21)</f>
        <v>31695.119999999995</v>
      </c>
      <c r="J22" s="113">
        <f>SUM(J18:J21)</f>
        <v>13583.16</v>
      </c>
    </row>
    <row r="23" spans="1:10" x14ac:dyDescent="0.4">
      <c r="G23" s="189">
        <f>SUM(F22:G22)</f>
        <v>285.66999999999996</v>
      </c>
      <c r="J23" s="189">
        <f>SUM(I22:J22)</f>
        <v>45278.28</v>
      </c>
    </row>
    <row r="25" spans="1:10" x14ac:dyDescent="0.4">
      <c r="A25" s="459" t="s">
        <v>51</v>
      </c>
      <c r="B25" s="459"/>
      <c r="C25" s="459"/>
      <c r="D25" s="459"/>
      <c r="E25" s="459"/>
      <c r="F25" s="459"/>
      <c r="G25" s="459"/>
      <c r="H25" s="459"/>
      <c r="I25" s="459"/>
      <c r="J25" s="459"/>
    </row>
    <row r="26" spans="1:10" ht="15.4" x14ac:dyDescent="0.45">
      <c r="A26" s="304" t="s">
        <v>305</v>
      </c>
      <c r="B26" s="185"/>
      <c r="C26" s="305" t="s">
        <v>306</v>
      </c>
      <c r="D26" s="305" t="s">
        <v>402</v>
      </c>
      <c r="F26" s="111" t="s">
        <v>307</v>
      </c>
      <c r="G26" s="181" t="s">
        <v>308</v>
      </c>
      <c r="I26" s="458" t="s">
        <v>123</v>
      </c>
      <c r="J26" s="458"/>
    </row>
    <row r="27" spans="1:10" x14ac:dyDescent="0.4">
      <c r="A27" s="182" t="s">
        <v>309</v>
      </c>
      <c r="B27" s="183" t="s">
        <v>310</v>
      </c>
      <c r="C27" s="183" t="s">
        <v>311</v>
      </c>
      <c r="D27" s="183" t="s">
        <v>312</v>
      </c>
      <c r="F27" s="302">
        <v>0.7</v>
      </c>
      <c r="G27" s="302">
        <v>0.3</v>
      </c>
      <c r="I27" s="303" t="s">
        <v>403</v>
      </c>
      <c r="J27" s="303" t="s">
        <v>68</v>
      </c>
    </row>
    <row r="28" spans="1:10" x14ac:dyDescent="0.4">
      <c r="A28" s="184" t="s">
        <v>313</v>
      </c>
      <c r="B28" s="185"/>
      <c r="C28" s="295">
        <v>10</v>
      </c>
      <c r="D28" s="296">
        <v>1504.93</v>
      </c>
      <c r="F28" s="113">
        <f>ROUND($D28*F$7,2)</f>
        <v>1053.45</v>
      </c>
      <c r="G28" s="113">
        <f>ROUND($D28*G$7,2)</f>
        <v>451.48</v>
      </c>
      <c r="I28" s="113">
        <f>$C28*F28*12</f>
        <v>126414</v>
      </c>
      <c r="J28" s="113">
        <f>$C28*G28*12</f>
        <v>54177.600000000006</v>
      </c>
    </row>
    <row r="29" spans="1:10" x14ac:dyDescent="0.4">
      <c r="A29" s="186" t="s">
        <v>314</v>
      </c>
      <c r="B29" s="185"/>
      <c r="C29" s="295">
        <v>4</v>
      </c>
      <c r="D29" s="297">
        <v>957.03</v>
      </c>
      <c r="F29" s="113">
        <f t="shared" ref="F29:G31" si="5">ROUND($D29*F$7,2)</f>
        <v>669.92</v>
      </c>
      <c r="G29" s="113">
        <f t="shared" si="5"/>
        <v>287.11</v>
      </c>
      <c r="I29" s="113">
        <f t="shared" ref="I29:I31" si="6">$C29*F29*12</f>
        <v>32156.159999999996</v>
      </c>
      <c r="J29" s="113">
        <f t="shared" ref="J29:J31" si="7">$C29*G29*12</f>
        <v>13781.28</v>
      </c>
    </row>
    <row r="30" spans="1:10" x14ac:dyDescent="0.4">
      <c r="A30" s="186" t="s">
        <v>315</v>
      </c>
      <c r="B30" s="185"/>
      <c r="C30" s="295">
        <v>7</v>
      </c>
      <c r="D30" s="297">
        <v>1087.43</v>
      </c>
      <c r="F30" s="113">
        <f t="shared" si="5"/>
        <v>761.2</v>
      </c>
      <c r="G30" s="113">
        <f t="shared" si="5"/>
        <v>326.23</v>
      </c>
      <c r="I30" s="113">
        <f t="shared" si="6"/>
        <v>63940.800000000003</v>
      </c>
      <c r="J30" s="113">
        <f t="shared" si="7"/>
        <v>27403.32</v>
      </c>
    </row>
    <row r="31" spans="1:10" x14ac:dyDescent="0.4">
      <c r="A31" s="187" t="s">
        <v>316</v>
      </c>
      <c r="B31" s="188"/>
      <c r="C31" s="298">
        <v>47</v>
      </c>
      <c r="D31" s="299">
        <v>598.14</v>
      </c>
      <c r="F31" s="300">
        <f t="shared" si="5"/>
        <v>418.7</v>
      </c>
      <c r="G31" s="300">
        <f t="shared" si="5"/>
        <v>179.44</v>
      </c>
      <c r="I31" s="300">
        <f t="shared" si="6"/>
        <v>236146.8</v>
      </c>
      <c r="J31" s="300">
        <f t="shared" si="7"/>
        <v>101204.16</v>
      </c>
    </row>
    <row r="32" spans="1:10" x14ac:dyDescent="0.4">
      <c r="C32" s="58">
        <f>SUM(C28:C31)</f>
        <v>68</v>
      </c>
      <c r="D32" s="189">
        <f>SUM(D28:D31)</f>
        <v>4147.5300000000007</v>
      </c>
      <c r="F32" s="189">
        <f>SUM(F28:F31)</f>
        <v>2903.2699999999995</v>
      </c>
      <c r="G32" s="189">
        <f>SUM(G28:G31)</f>
        <v>1244.2600000000002</v>
      </c>
      <c r="H32" s="189"/>
      <c r="I32" s="113">
        <f>SUM(I28:I31)</f>
        <v>458657.76</v>
      </c>
      <c r="J32" s="113">
        <f>SUM(J28:J31)</f>
        <v>196566.36000000002</v>
      </c>
    </row>
    <row r="33" spans="1:10" x14ac:dyDescent="0.4">
      <c r="C33" s="301"/>
      <c r="G33" s="189">
        <f>SUM(F32:G32)</f>
        <v>4147.53</v>
      </c>
      <c r="J33" s="189">
        <f>SUM(I32:J32)</f>
        <v>655224.12</v>
      </c>
    </row>
    <row r="34" spans="1:10" x14ac:dyDescent="0.4">
      <c r="B34" s="190"/>
    </row>
    <row r="36" spans="1:10" ht="15.4" x14ac:dyDescent="0.45">
      <c r="A36" s="178" t="s">
        <v>317</v>
      </c>
      <c r="B36" s="179"/>
      <c r="C36" s="180" t="s">
        <v>306</v>
      </c>
      <c r="D36" s="180" t="s">
        <v>402</v>
      </c>
      <c r="F36" s="111" t="s">
        <v>307</v>
      </c>
      <c r="G36" s="181" t="s">
        <v>308</v>
      </c>
      <c r="I36" s="458" t="s">
        <v>123</v>
      </c>
      <c r="J36" s="458"/>
    </row>
    <row r="37" spans="1:10" x14ac:dyDescent="0.4">
      <c r="A37" s="182" t="s">
        <v>309</v>
      </c>
      <c r="B37" s="183" t="s">
        <v>310</v>
      </c>
      <c r="C37" s="183" t="s">
        <v>311</v>
      </c>
      <c r="D37" s="183" t="s">
        <v>312</v>
      </c>
      <c r="F37" s="302">
        <v>0.7</v>
      </c>
      <c r="G37" s="302">
        <v>0.3</v>
      </c>
      <c r="I37" s="303" t="s">
        <v>403</v>
      </c>
      <c r="J37" s="303" t="s">
        <v>68</v>
      </c>
    </row>
    <row r="38" spans="1:10" x14ac:dyDescent="0.4">
      <c r="A38" s="184" t="s">
        <v>313</v>
      </c>
      <c r="B38" s="185"/>
      <c r="C38" s="295">
        <v>19</v>
      </c>
      <c r="D38" s="296">
        <v>104.07</v>
      </c>
      <c r="F38" s="113">
        <f>ROUND($D38*F$17,2)</f>
        <v>72.849999999999994</v>
      </c>
      <c r="G38" s="113">
        <f>ROUND($D38*G$17,2)</f>
        <v>31.22</v>
      </c>
      <c r="I38" s="113">
        <f>$C38*F38*12</f>
        <v>16609.8</v>
      </c>
      <c r="J38" s="113">
        <f>$C38*G38*12</f>
        <v>7118.16</v>
      </c>
    </row>
    <row r="39" spans="1:10" x14ac:dyDescent="0.4">
      <c r="A39" s="186" t="s">
        <v>314</v>
      </c>
      <c r="B39" s="185"/>
      <c r="C39" s="295">
        <v>5</v>
      </c>
      <c r="D39" s="297">
        <v>73.98</v>
      </c>
      <c r="F39" s="113">
        <f t="shared" ref="F39:G41" si="8">ROUND($D39*F$17,2)</f>
        <v>51.79</v>
      </c>
      <c r="G39" s="113">
        <f t="shared" si="8"/>
        <v>22.19</v>
      </c>
      <c r="I39" s="113">
        <f t="shared" ref="I39:I41" si="9">$C39*F39*12</f>
        <v>3107.3999999999996</v>
      </c>
      <c r="J39" s="113">
        <f t="shared" ref="J39:J41" si="10">$C39*G39*12</f>
        <v>1331.4</v>
      </c>
    </row>
    <row r="40" spans="1:10" x14ac:dyDescent="0.4">
      <c r="A40" s="186" t="s">
        <v>315</v>
      </c>
      <c r="B40" s="185"/>
      <c r="C40" s="295">
        <v>9</v>
      </c>
      <c r="D40" s="297">
        <v>62.95</v>
      </c>
      <c r="F40" s="113">
        <f t="shared" si="8"/>
        <v>44.07</v>
      </c>
      <c r="G40" s="113">
        <f t="shared" si="8"/>
        <v>18.89</v>
      </c>
      <c r="I40" s="113">
        <f t="shared" si="9"/>
        <v>4759.5599999999995</v>
      </c>
      <c r="J40" s="113">
        <f t="shared" si="10"/>
        <v>2040.12</v>
      </c>
    </row>
    <row r="41" spans="1:10" x14ac:dyDescent="0.4">
      <c r="A41" s="187" t="s">
        <v>316</v>
      </c>
      <c r="B41" s="188"/>
      <c r="C41" s="298">
        <v>30</v>
      </c>
      <c r="D41" s="299">
        <v>30.38</v>
      </c>
      <c r="F41" s="113">
        <f t="shared" si="8"/>
        <v>21.27</v>
      </c>
      <c r="G41" s="113">
        <f t="shared" si="8"/>
        <v>9.11</v>
      </c>
      <c r="I41" s="300">
        <f t="shared" si="9"/>
        <v>7657.2000000000007</v>
      </c>
      <c r="J41" s="300">
        <f t="shared" si="10"/>
        <v>3279.5999999999995</v>
      </c>
    </row>
    <row r="42" spans="1:10" x14ac:dyDescent="0.4">
      <c r="C42" s="58">
        <f>SUM(C38:C41)</f>
        <v>63</v>
      </c>
      <c r="D42" s="189">
        <f>SUM(D38:D41)</f>
        <v>271.38</v>
      </c>
      <c r="F42" s="189">
        <f>SUM(F38:F41)</f>
        <v>189.98</v>
      </c>
      <c r="G42" s="189">
        <f>SUM(G38:G41)</f>
        <v>81.41</v>
      </c>
      <c r="H42" s="189"/>
      <c r="I42" s="113">
        <f>SUM(I38:I41)</f>
        <v>32133.959999999995</v>
      </c>
      <c r="J42" s="113">
        <f>SUM(J38:J41)</f>
        <v>13769.279999999999</v>
      </c>
    </row>
    <row r="43" spans="1:10" x14ac:dyDescent="0.4">
      <c r="G43" s="189">
        <f>SUM(F42:G42)</f>
        <v>271.39</v>
      </c>
      <c r="J43" s="189">
        <f>SUM(I42:J42)</f>
        <v>45903.239999999991</v>
      </c>
    </row>
  </sheetData>
  <mergeCells count="6">
    <mergeCell ref="I36:J36"/>
    <mergeCell ref="I6:J6"/>
    <mergeCell ref="I16:J16"/>
    <mergeCell ref="A5:J5"/>
    <mergeCell ref="A25:J25"/>
    <mergeCell ref="I26:J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00291-D12D-4F3E-BD2B-0FDE0661ECF0}">
  <dimension ref="B6:G11"/>
  <sheetViews>
    <sheetView workbookViewId="0">
      <selection activeCell="G6" sqref="G6"/>
    </sheetView>
  </sheetViews>
  <sheetFormatPr defaultColWidth="14.77734375" defaultRowHeight="15" x14ac:dyDescent="0.4"/>
  <cols>
    <col min="7" max="7" width="14.77734375" style="191"/>
  </cols>
  <sheetData>
    <row r="6" spans="2:7" x14ac:dyDescent="0.4">
      <c r="B6" s="40" t="s">
        <v>321</v>
      </c>
      <c r="G6" s="93">
        <f>'Emp Sal &amp; Wages'!L90</f>
        <v>281271.2300000001</v>
      </c>
    </row>
    <row r="7" spans="2:7" x14ac:dyDescent="0.4">
      <c r="B7" s="40" t="s">
        <v>324</v>
      </c>
      <c r="G7" s="81">
        <f>'SAO - DSC'!F22</f>
        <v>10800</v>
      </c>
    </row>
    <row r="8" spans="2:7" x14ac:dyDescent="0.4">
      <c r="B8" s="40" t="s">
        <v>325</v>
      </c>
      <c r="G8" s="59">
        <f>SUM(G6:G7)</f>
        <v>292071.2300000001</v>
      </c>
    </row>
    <row r="9" spans="2:7" x14ac:dyDescent="0.4">
      <c r="B9" s="40" t="s">
        <v>322</v>
      </c>
      <c r="G9" s="99">
        <v>7.6499999999999999E-2</v>
      </c>
    </row>
    <row r="10" spans="2:7" ht="15.4" thickBot="1" x14ac:dyDescent="0.45">
      <c r="B10" s="40" t="s">
        <v>323</v>
      </c>
      <c r="G10" s="192">
        <f>ROUND(G8*G9,0)</f>
        <v>22343</v>
      </c>
    </row>
    <row r="11" spans="2:7" ht="15.4" thickTop="1" x14ac:dyDescent="0.4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A0329-8FA1-4266-B206-5A09C0CC04B7}">
  <dimension ref="A2:E44"/>
  <sheetViews>
    <sheetView workbookViewId="0">
      <selection activeCell="C40" sqref="C40:D40"/>
    </sheetView>
  </sheetViews>
  <sheetFormatPr defaultColWidth="14.77734375" defaultRowHeight="14.25" x14ac:dyDescent="0.45"/>
  <cols>
    <col min="1" max="1" width="14.77734375" style="27"/>
    <col min="2" max="16384" width="14.77734375" style="2"/>
  </cols>
  <sheetData>
    <row r="2" spans="1:3" x14ac:dyDescent="0.45">
      <c r="B2" s="27" t="s">
        <v>90</v>
      </c>
    </row>
    <row r="3" spans="1:3" ht="16.5" x14ac:dyDescent="0.75">
      <c r="B3" s="19" t="s">
        <v>89</v>
      </c>
    </row>
    <row r="4" spans="1:3" x14ac:dyDescent="0.45">
      <c r="A4" s="27" t="s">
        <v>77</v>
      </c>
      <c r="B4" s="2">
        <v>30712000</v>
      </c>
      <c r="C4" s="2">
        <v>25054000</v>
      </c>
    </row>
    <row r="5" spans="1:3" x14ac:dyDescent="0.45">
      <c r="A5" s="27" t="s">
        <v>78</v>
      </c>
      <c r="B5" s="2">
        <v>31828000</v>
      </c>
      <c r="C5" s="2">
        <v>25029000</v>
      </c>
    </row>
    <row r="6" spans="1:3" x14ac:dyDescent="0.45">
      <c r="A6" s="27" t="s">
        <v>79</v>
      </c>
      <c r="B6" s="2">
        <v>30921000</v>
      </c>
      <c r="C6" s="2">
        <v>24705000</v>
      </c>
    </row>
    <row r="7" spans="1:3" x14ac:dyDescent="0.45">
      <c r="A7" s="27" t="s">
        <v>80</v>
      </c>
      <c r="B7" s="2">
        <v>28937000</v>
      </c>
      <c r="C7" s="2">
        <v>24211000</v>
      </c>
    </row>
    <row r="8" spans="1:3" x14ac:dyDescent="0.45">
      <c r="A8" s="27" t="s">
        <v>81</v>
      </c>
      <c r="B8" s="2">
        <v>31082000</v>
      </c>
      <c r="C8" s="2">
        <v>26248000</v>
      </c>
    </row>
    <row r="9" spans="1:3" x14ac:dyDescent="0.45">
      <c r="A9" s="27" t="s">
        <v>82</v>
      </c>
      <c r="B9" s="2">
        <v>39434000</v>
      </c>
      <c r="C9" s="2">
        <v>34661000</v>
      </c>
    </row>
    <row r="10" spans="1:3" x14ac:dyDescent="0.45">
      <c r="A10" s="27" t="s">
        <v>83</v>
      </c>
      <c r="B10" s="2">
        <v>45379000</v>
      </c>
      <c r="C10" s="2">
        <v>40773000</v>
      </c>
    </row>
    <row r="11" spans="1:3" x14ac:dyDescent="0.45">
      <c r="A11" s="27" t="s">
        <v>84</v>
      </c>
      <c r="B11" s="2">
        <v>40364000</v>
      </c>
      <c r="C11" s="2">
        <v>35090000</v>
      </c>
    </row>
    <row r="12" spans="1:3" x14ac:dyDescent="0.45">
      <c r="A12" s="27" t="s">
        <v>85</v>
      </c>
      <c r="B12" s="2">
        <v>38962000</v>
      </c>
      <c r="C12" s="2">
        <v>32540000</v>
      </c>
    </row>
    <row r="13" spans="1:3" x14ac:dyDescent="0.45">
      <c r="A13" s="27" t="s">
        <v>88</v>
      </c>
      <c r="B13" s="2">
        <v>35207000</v>
      </c>
      <c r="C13" s="2">
        <v>29898000</v>
      </c>
    </row>
    <row r="14" spans="1:3" x14ac:dyDescent="0.45">
      <c r="A14" s="27" t="s">
        <v>86</v>
      </c>
      <c r="B14" s="2">
        <v>33769000</v>
      </c>
      <c r="C14" s="2">
        <v>28199000</v>
      </c>
    </row>
    <row r="15" spans="1:3" ht="16.5" x14ac:dyDescent="0.75">
      <c r="A15" s="27" t="s">
        <v>87</v>
      </c>
      <c r="B15" s="11">
        <v>31776000</v>
      </c>
      <c r="C15" s="2">
        <v>26208000</v>
      </c>
    </row>
    <row r="16" spans="1:3" x14ac:dyDescent="0.45">
      <c r="A16" s="27" t="s">
        <v>29</v>
      </c>
      <c r="B16" s="2">
        <f t="shared" ref="B16:C16" si="0">SUM(B4:B15)</f>
        <v>418371000</v>
      </c>
      <c r="C16" s="2">
        <f t="shared" si="0"/>
        <v>352616000</v>
      </c>
    </row>
    <row r="19" spans="1:5" x14ac:dyDescent="0.45">
      <c r="A19" s="1"/>
      <c r="B19" s="1"/>
      <c r="C19" s="62"/>
      <c r="D19" s="16"/>
      <c r="E19" s="16"/>
    </row>
    <row r="20" spans="1:5" x14ac:dyDescent="0.45">
      <c r="A20" s="18" t="s">
        <v>34</v>
      </c>
      <c r="B20" s="6"/>
      <c r="C20" s="6"/>
      <c r="D20" s="6"/>
      <c r="E20" s="6"/>
    </row>
    <row r="21" spans="1:5" x14ac:dyDescent="0.45">
      <c r="A21" s="6" t="s">
        <v>35</v>
      </c>
      <c r="C21" s="2">
        <f>B16</f>
        <v>418371000</v>
      </c>
      <c r="D21" s="61"/>
      <c r="E21" s="5"/>
    </row>
    <row r="22" spans="1:5" x14ac:dyDescent="0.45">
      <c r="A22" s="6" t="s">
        <v>36</v>
      </c>
      <c r="C22" s="2">
        <f>C16</f>
        <v>352616000</v>
      </c>
      <c r="D22" s="6"/>
      <c r="E22" s="6"/>
    </row>
    <row r="23" spans="1:5" x14ac:dyDescent="0.45">
      <c r="A23" s="6" t="s">
        <v>37</v>
      </c>
      <c r="D23" s="6"/>
      <c r="E23" s="6"/>
    </row>
    <row r="24" spans="1:5" x14ac:dyDescent="0.45">
      <c r="A24" s="1" t="s">
        <v>38</v>
      </c>
      <c r="B24" s="2">
        <v>0</v>
      </c>
      <c r="D24" s="6"/>
      <c r="E24" s="6"/>
    </row>
    <row r="25" spans="1:5" x14ac:dyDescent="0.45">
      <c r="A25" s="6" t="s">
        <v>39</v>
      </c>
      <c r="B25" s="2">
        <v>2605000</v>
      </c>
      <c r="D25" s="6"/>
      <c r="E25" s="6"/>
    </row>
    <row r="26" spans="1:5" x14ac:dyDescent="0.45">
      <c r="A26" s="6" t="s">
        <v>40</v>
      </c>
      <c r="B26" s="2">
        <v>0</v>
      </c>
      <c r="D26" s="6"/>
      <c r="E26" s="6"/>
    </row>
    <row r="27" spans="1:5" ht="16.5" x14ac:dyDescent="0.75">
      <c r="A27" s="6" t="s">
        <v>41</v>
      </c>
      <c r="B27" s="20">
        <v>0</v>
      </c>
      <c r="C27" s="2">
        <f>SUM(B24:B27)</f>
        <v>2605000</v>
      </c>
      <c r="D27" s="6"/>
      <c r="E27" s="6"/>
    </row>
    <row r="28" spans="1:5" x14ac:dyDescent="0.45">
      <c r="A28" s="6" t="s">
        <v>152</v>
      </c>
      <c r="B28" s="3">
        <v>0</v>
      </c>
      <c r="D28" s="6"/>
      <c r="E28" s="6"/>
    </row>
    <row r="29" spans="1:5" x14ac:dyDescent="0.45">
      <c r="A29" s="6" t="s">
        <v>42</v>
      </c>
      <c r="B29" s="2">
        <v>615000</v>
      </c>
      <c r="D29" s="6"/>
      <c r="E29" s="6"/>
    </row>
    <row r="30" spans="1:5" x14ac:dyDescent="0.45">
      <c r="A30" s="6" t="s">
        <v>43</v>
      </c>
      <c r="B30" s="3">
        <v>62168000</v>
      </c>
      <c r="D30" s="6"/>
      <c r="E30" s="6"/>
    </row>
    <row r="31" spans="1:5" ht="16.5" x14ac:dyDescent="0.75">
      <c r="A31" s="6" t="s">
        <v>151</v>
      </c>
      <c r="B31" s="20">
        <v>367000</v>
      </c>
      <c r="D31" s="6"/>
      <c r="E31" s="6"/>
    </row>
    <row r="32" spans="1:5" ht="16.5" x14ac:dyDescent="0.75">
      <c r="A32" s="6"/>
      <c r="B32" s="20"/>
      <c r="D32" s="6"/>
      <c r="E32" s="6"/>
    </row>
    <row r="33" spans="1:5" ht="16.5" x14ac:dyDescent="0.75">
      <c r="A33" s="6"/>
      <c r="B33" s="20"/>
      <c r="D33" s="6"/>
      <c r="E33" s="6"/>
    </row>
    <row r="34" spans="1:5" ht="16.5" x14ac:dyDescent="0.75">
      <c r="A34" s="6"/>
      <c r="B34" s="20"/>
      <c r="D34" s="6"/>
      <c r="E34" s="6"/>
    </row>
    <row r="35" spans="1:5" ht="16.5" x14ac:dyDescent="0.75">
      <c r="A35" s="6"/>
      <c r="B35" s="20"/>
      <c r="D35" s="6"/>
      <c r="E35" s="6"/>
    </row>
    <row r="36" spans="1:5" x14ac:dyDescent="0.45">
      <c r="A36" s="6"/>
      <c r="C36" s="2">
        <f>SUM(B28:B31)</f>
        <v>63150000</v>
      </c>
      <c r="D36" s="8">
        <f>C36/C21</f>
        <v>0.15094258445255526</v>
      </c>
      <c r="E36" s="6" t="s">
        <v>44</v>
      </c>
    </row>
    <row r="37" spans="1:5" x14ac:dyDescent="0.45">
      <c r="A37" s="4" t="s">
        <v>45</v>
      </c>
      <c r="B37" s="2">
        <f>SUM(C22:C36)</f>
        <v>418371000</v>
      </c>
      <c r="D37" s="12">
        <v>0.15</v>
      </c>
      <c r="E37" s="6" t="s">
        <v>46</v>
      </c>
    </row>
    <row r="38" spans="1:5" x14ac:dyDescent="0.45">
      <c r="A38" s="9"/>
      <c r="B38" s="6"/>
      <c r="C38" s="6"/>
      <c r="D38" s="213">
        <f>ROUND(D36-D37,5)</f>
        <v>9.3999999999999997E-4</v>
      </c>
      <c r="E38" s="10" t="s">
        <v>126</v>
      </c>
    </row>
    <row r="39" spans="1:5" x14ac:dyDescent="0.45">
      <c r="A39" s="9"/>
      <c r="B39" s="6"/>
      <c r="C39" s="6"/>
      <c r="D39" s="17"/>
      <c r="E39" s="10"/>
    </row>
    <row r="40" spans="1:5" x14ac:dyDescent="0.45">
      <c r="C40" s="431" t="s">
        <v>345</v>
      </c>
      <c r="D40" s="432" t="s">
        <v>13</v>
      </c>
    </row>
    <row r="41" spans="1:5" x14ac:dyDescent="0.45">
      <c r="A41" s="212" t="s">
        <v>342</v>
      </c>
      <c r="C41" s="2">
        <f>'SAO - DSC'!F27</f>
        <v>30953</v>
      </c>
      <c r="D41" s="2">
        <f>'SAO - DSC'!F26</f>
        <v>1216129</v>
      </c>
    </row>
    <row r="42" spans="1:5" x14ac:dyDescent="0.45">
      <c r="A42" s="212" t="s">
        <v>343</v>
      </c>
      <c r="C42" s="429">
        <f>-D38</f>
        <v>-9.3999999999999997E-4</v>
      </c>
      <c r="D42" s="429">
        <f>-D38</f>
        <v>-9.3999999999999997E-4</v>
      </c>
    </row>
    <row r="43" spans="1:5" ht="14.65" thickBot="1" x14ac:dyDescent="0.5">
      <c r="A43" s="212" t="s">
        <v>344</v>
      </c>
      <c r="C43" s="430">
        <f>ROUND(C41*C42,0)</f>
        <v>-29</v>
      </c>
      <c r="D43" s="430">
        <f>ROUND(D41*D42,0)</f>
        <v>-1143</v>
      </c>
    </row>
    <row r="44" spans="1:5" ht="14.65" thickTop="1" x14ac:dyDescent="0.4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C049E-A4DE-49B1-95A1-36AD349C8A23}">
  <dimension ref="B1:O25"/>
  <sheetViews>
    <sheetView topLeftCell="D1" workbookViewId="0">
      <selection activeCell="J19" sqref="J19"/>
    </sheetView>
  </sheetViews>
  <sheetFormatPr defaultColWidth="8.88671875" defaultRowHeight="15" x14ac:dyDescent="0.4"/>
  <cols>
    <col min="1" max="1" width="3.33203125" style="195" customWidth="1"/>
    <col min="2" max="2" width="7.33203125" style="209" customWidth="1"/>
    <col min="3" max="3" width="1.33203125" style="195" customWidth="1"/>
    <col min="4" max="4" width="41.77734375" style="195" customWidth="1"/>
    <col min="5" max="5" width="1.33203125" style="195" customWidth="1"/>
    <col min="6" max="6" width="13" style="197" customWidth="1"/>
    <col min="7" max="7" width="1.33203125" style="195" customWidth="1"/>
    <col min="8" max="8" width="12.77734375" style="195" customWidth="1"/>
    <col min="9" max="9" width="1.33203125" style="195" customWidth="1"/>
    <col min="10" max="10" width="11.44140625" style="197" customWidth="1"/>
    <col min="11" max="11" width="1.33203125" style="195" customWidth="1"/>
    <col min="12" max="12" width="13" style="197" customWidth="1"/>
    <col min="13" max="14" width="1.33203125" style="195" customWidth="1"/>
    <col min="15" max="15" width="11.44140625" style="197" customWidth="1"/>
    <col min="16" max="19" width="1.33203125" style="195" customWidth="1"/>
    <col min="20" max="16384" width="8.88671875" style="195"/>
  </cols>
  <sheetData>
    <row r="1" spans="2:15" x14ac:dyDescent="0.4">
      <c r="B1" s="460" t="s">
        <v>95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2"/>
    </row>
    <row r="2" spans="2:15" x14ac:dyDescent="0.4">
      <c r="B2" s="463" t="s">
        <v>96</v>
      </c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5"/>
    </row>
    <row r="3" spans="2:15" x14ac:dyDescent="0.4">
      <c r="B3" s="466" t="s">
        <v>167</v>
      </c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8"/>
    </row>
    <row r="4" spans="2:15" x14ac:dyDescent="0.4">
      <c r="B4" s="199"/>
      <c r="C4" s="206"/>
      <c r="D4" s="206"/>
      <c r="E4" s="206"/>
      <c r="F4" s="207"/>
      <c r="G4" s="206"/>
      <c r="H4" s="206"/>
      <c r="I4" s="206"/>
      <c r="J4" s="207"/>
      <c r="K4" s="206"/>
      <c r="L4" s="207"/>
      <c r="M4" s="206"/>
      <c r="N4" s="206"/>
      <c r="O4" s="208"/>
    </row>
    <row r="5" spans="2:15" x14ac:dyDescent="0.4">
      <c r="B5" s="196"/>
      <c r="O5" s="198"/>
    </row>
    <row r="6" spans="2:15" x14ac:dyDescent="0.4">
      <c r="B6" s="196"/>
      <c r="D6" s="40" t="s">
        <v>326</v>
      </c>
      <c r="F6" s="40"/>
      <c r="J6" s="40"/>
      <c r="K6" s="40"/>
      <c r="L6" s="202"/>
      <c r="O6" s="203"/>
    </row>
    <row r="7" spans="2:15" ht="15.75" x14ac:dyDescent="0.5">
      <c r="B7" s="196"/>
      <c r="D7" s="40"/>
      <c r="F7" s="85" t="s">
        <v>54</v>
      </c>
      <c r="H7" s="210" t="s">
        <v>329</v>
      </c>
      <c r="J7" s="204" t="s">
        <v>123</v>
      </c>
      <c r="K7" s="85"/>
      <c r="L7" s="211" t="s">
        <v>340</v>
      </c>
      <c r="O7" s="198"/>
    </row>
    <row r="8" spans="2:15" ht="15.75" x14ac:dyDescent="0.5">
      <c r="B8" s="196"/>
      <c r="D8" s="193" t="s">
        <v>327</v>
      </c>
      <c r="F8" s="92" t="s">
        <v>328</v>
      </c>
      <c r="H8" s="200" t="s">
        <v>148</v>
      </c>
      <c r="J8" s="205" t="s">
        <v>329</v>
      </c>
      <c r="K8" s="85"/>
      <c r="L8" s="201" t="s">
        <v>166</v>
      </c>
      <c r="O8" s="198"/>
    </row>
    <row r="9" spans="2:15" x14ac:dyDescent="0.4">
      <c r="B9" s="196"/>
      <c r="D9" s="40" t="s">
        <v>330</v>
      </c>
      <c r="F9" s="323">
        <v>609700</v>
      </c>
      <c r="H9" s="324">
        <v>10</v>
      </c>
      <c r="J9" s="323">
        <f>ROUND(F9/H9,0)</f>
        <v>60970</v>
      </c>
      <c r="K9" s="85"/>
      <c r="L9" s="85" t="s">
        <v>331</v>
      </c>
      <c r="O9" s="198"/>
    </row>
    <row r="10" spans="2:15" x14ac:dyDescent="0.4">
      <c r="B10" s="196"/>
      <c r="D10" s="40" t="s">
        <v>332</v>
      </c>
      <c r="F10" s="325">
        <v>270615</v>
      </c>
      <c r="H10" s="324">
        <v>62.5</v>
      </c>
      <c r="J10" s="325">
        <f t="shared" ref="J10:J15" si="0">ROUND(F10/H10,0)</f>
        <v>4330</v>
      </c>
      <c r="K10" s="85"/>
      <c r="L10" s="194">
        <v>45291</v>
      </c>
      <c r="O10" s="198"/>
    </row>
    <row r="11" spans="2:15" x14ac:dyDescent="0.4">
      <c r="B11" s="196"/>
      <c r="D11" s="40" t="s">
        <v>333</v>
      </c>
      <c r="F11" s="325">
        <v>212990</v>
      </c>
      <c r="H11" s="324">
        <v>62.5</v>
      </c>
      <c r="J11" s="325">
        <f t="shared" si="0"/>
        <v>3408</v>
      </c>
      <c r="L11" s="194">
        <v>45291</v>
      </c>
      <c r="O11" s="198"/>
    </row>
    <row r="12" spans="2:15" x14ac:dyDescent="0.4">
      <c r="B12" s="196"/>
      <c r="D12" s="40" t="s">
        <v>334</v>
      </c>
      <c r="F12" s="325">
        <v>60948</v>
      </c>
      <c r="H12" s="324">
        <v>33</v>
      </c>
      <c r="J12" s="325">
        <f t="shared" si="0"/>
        <v>1847</v>
      </c>
      <c r="L12" s="85" t="s">
        <v>335</v>
      </c>
      <c r="O12" s="198"/>
    </row>
    <row r="13" spans="2:15" x14ac:dyDescent="0.4">
      <c r="B13" s="196"/>
      <c r="D13" s="40" t="s">
        <v>336</v>
      </c>
      <c r="F13" s="325">
        <v>39805</v>
      </c>
      <c r="H13" s="324">
        <v>7</v>
      </c>
      <c r="J13" s="325">
        <f t="shared" si="0"/>
        <v>5686</v>
      </c>
      <c r="L13" s="194">
        <v>44926</v>
      </c>
      <c r="O13" s="198"/>
    </row>
    <row r="14" spans="2:15" x14ac:dyDescent="0.4">
      <c r="B14" s="196"/>
      <c r="D14" s="40" t="s">
        <v>337</v>
      </c>
      <c r="F14" s="325">
        <v>27750</v>
      </c>
      <c r="H14" s="324">
        <v>62.5</v>
      </c>
      <c r="J14" s="325">
        <f t="shared" si="0"/>
        <v>444</v>
      </c>
      <c r="L14" s="194">
        <v>45291</v>
      </c>
      <c r="O14" s="198"/>
    </row>
    <row r="15" spans="2:15" x14ac:dyDescent="0.4">
      <c r="B15" s="196"/>
      <c r="D15" s="40" t="s">
        <v>338</v>
      </c>
      <c r="F15" s="325">
        <v>26694</v>
      </c>
      <c r="H15" s="324">
        <v>5</v>
      </c>
      <c r="J15" s="326">
        <f t="shared" si="0"/>
        <v>5339</v>
      </c>
      <c r="L15" s="194">
        <v>45291</v>
      </c>
      <c r="O15" s="198"/>
    </row>
    <row r="16" spans="2:15" ht="16.149999999999999" thickBot="1" x14ac:dyDescent="0.55000000000000004">
      <c r="B16" s="196"/>
      <c r="D16" s="40" t="s">
        <v>339</v>
      </c>
      <c r="F16" s="327">
        <f>SUM(F9:F15)</f>
        <v>1248502</v>
      </c>
      <c r="H16" s="328"/>
      <c r="I16" s="328"/>
      <c r="J16" s="325">
        <f>SUM(J9:J15)</f>
        <v>82024</v>
      </c>
      <c r="K16" s="197"/>
      <c r="O16" s="198"/>
    </row>
    <row r="17" spans="2:15" ht="15.4" thickTop="1" x14ac:dyDescent="0.4">
      <c r="B17" s="196"/>
      <c r="O17" s="198"/>
    </row>
    <row r="18" spans="2:15" x14ac:dyDescent="0.4">
      <c r="B18" s="196"/>
      <c r="D18" s="195" t="s">
        <v>426</v>
      </c>
      <c r="J18" s="329">
        <f>'Dep Sch '!P29</f>
        <v>-155930</v>
      </c>
      <c r="L18" s="194">
        <v>44562</v>
      </c>
      <c r="O18" s="198"/>
    </row>
    <row r="19" spans="2:15" x14ac:dyDescent="0.4">
      <c r="B19" s="196"/>
      <c r="F19" s="195"/>
      <c r="J19" s="195"/>
      <c r="O19" s="198"/>
    </row>
    <row r="20" spans="2:15" x14ac:dyDescent="0.4">
      <c r="B20" s="196"/>
      <c r="D20" s="195" t="s">
        <v>427</v>
      </c>
      <c r="J20" s="330">
        <v>41654</v>
      </c>
      <c r="L20" s="194">
        <v>44927</v>
      </c>
      <c r="O20" s="198"/>
    </row>
    <row r="21" spans="2:15" x14ac:dyDescent="0.4">
      <c r="B21" s="196"/>
      <c r="J21" s="329"/>
      <c r="O21" s="198"/>
    </row>
    <row r="22" spans="2:15" ht="15.4" thickBot="1" x14ac:dyDescent="0.45">
      <c r="B22" s="196"/>
      <c r="D22" s="195" t="s">
        <v>341</v>
      </c>
      <c r="J22" s="327">
        <f>+J16+J18+J20</f>
        <v>-32252</v>
      </c>
      <c r="O22" s="198"/>
    </row>
    <row r="23" spans="2:15" ht="15.4" thickTop="1" x14ac:dyDescent="0.4">
      <c r="B23" s="196"/>
      <c r="O23" s="198"/>
    </row>
    <row r="24" spans="2:15" x14ac:dyDescent="0.4">
      <c r="B24" s="196"/>
      <c r="O24" s="198"/>
    </row>
    <row r="25" spans="2:15" x14ac:dyDescent="0.4">
      <c r="B25" s="199"/>
      <c r="C25" s="206"/>
      <c r="D25" s="206"/>
      <c r="E25" s="206"/>
      <c r="F25" s="207"/>
      <c r="G25" s="206"/>
      <c r="H25" s="206"/>
      <c r="I25" s="206"/>
      <c r="J25" s="207"/>
      <c r="K25" s="206"/>
      <c r="L25" s="207"/>
      <c r="M25" s="206"/>
      <c r="N25" s="206"/>
      <c r="O25" s="208"/>
    </row>
  </sheetData>
  <mergeCells count="3">
    <mergeCell ref="B1:O1"/>
    <mergeCell ref="B2:O2"/>
    <mergeCell ref="B3:O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4DF5D-B656-4EC0-AB2C-612B66971115}">
  <dimension ref="A1:AA84"/>
  <sheetViews>
    <sheetView workbookViewId="0">
      <selection sqref="A1:XFD1048576"/>
    </sheetView>
  </sheetViews>
  <sheetFormatPr defaultColWidth="8.88671875" defaultRowHeight="13.5" x14ac:dyDescent="0.35"/>
  <cols>
    <col min="1" max="1" width="1.77734375" style="30" customWidth="1"/>
    <col min="2" max="2" width="7.33203125" style="29" customWidth="1"/>
    <col min="3" max="3" width="1.33203125" style="30" customWidth="1"/>
    <col min="4" max="4" width="41.77734375" style="30" customWidth="1"/>
    <col min="5" max="5" width="1.33203125" style="30" customWidth="1"/>
    <col min="6" max="6" width="14.21875" style="31" customWidth="1"/>
    <col min="7" max="7" width="1.33203125" style="30" customWidth="1"/>
    <col min="8" max="8" width="13" style="31" customWidth="1"/>
    <col min="9" max="9" width="1.88671875" style="31" customWidth="1"/>
    <col min="10" max="10" width="13" style="31" customWidth="1"/>
    <col min="11" max="11" width="1.33203125" style="30" customWidth="1"/>
    <col min="12" max="12" width="11.44140625" style="31" customWidth="1"/>
    <col min="13" max="13" width="1.33203125" style="30" customWidth="1"/>
    <col min="14" max="14" width="11.44140625" style="31" customWidth="1"/>
    <col min="15" max="15" width="1.33203125" style="30" customWidth="1"/>
    <col min="16" max="16" width="11.44140625" style="31" customWidth="1"/>
    <col min="17" max="17" width="1.33203125" style="30" customWidth="1"/>
    <col min="18" max="18" width="13" style="31" customWidth="1"/>
    <col min="19" max="19" width="1.33203125" style="30" customWidth="1"/>
    <col min="20" max="20" width="7.77734375" style="33" customWidth="1"/>
    <col min="21" max="24" width="1.33203125" style="30" customWidth="1"/>
    <col min="25" max="25" width="8.88671875" style="32"/>
    <col min="26" max="26" width="1.33203125" style="30" customWidth="1"/>
    <col min="27" max="27" width="32.21875" style="30" customWidth="1"/>
    <col min="28" max="16384" width="8.88671875" style="30"/>
  </cols>
  <sheetData>
    <row r="1" spans="1:27" ht="15" x14ac:dyDescent="0.4"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</row>
    <row r="2" spans="1:27" ht="22.15" x14ac:dyDescent="0.55000000000000004">
      <c r="A2" s="100"/>
      <c r="B2" s="471" t="s">
        <v>149</v>
      </c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101"/>
    </row>
    <row r="3" spans="1:27" ht="22.15" x14ac:dyDescent="0.55000000000000004">
      <c r="A3" s="89"/>
      <c r="B3" s="469" t="s">
        <v>164</v>
      </c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102"/>
    </row>
    <row r="4" spans="1:27" x14ac:dyDescent="0.35">
      <c r="A4" s="89"/>
      <c r="U4" s="102"/>
    </row>
    <row r="5" spans="1:27" x14ac:dyDescent="0.35">
      <c r="A5" s="89"/>
      <c r="B5" s="29" t="s">
        <v>131</v>
      </c>
      <c r="F5" s="86" t="s">
        <v>104</v>
      </c>
      <c r="H5" s="86" t="s">
        <v>105</v>
      </c>
      <c r="I5" s="86"/>
      <c r="J5" s="86" t="s">
        <v>428</v>
      </c>
      <c r="L5" s="33">
        <v>2022</v>
      </c>
      <c r="N5" s="33" t="s">
        <v>429</v>
      </c>
      <c r="P5" s="33" t="s">
        <v>430</v>
      </c>
      <c r="R5" s="86" t="s">
        <v>105</v>
      </c>
      <c r="T5" s="33" t="s">
        <v>147</v>
      </c>
      <c r="U5" s="102"/>
    </row>
    <row r="6" spans="1:27" x14ac:dyDescent="0.35">
      <c r="A6" s="89"/>
      <c r="B6" s="109" t="s">
        <v>99</v>
      </c>
      <c r="D6" s="34" t="s">
        <v>106</v>
      </c>
      <c r="F6" s="35" t="s">
        <v>431</v>
      </c>
      <c r="H6" s="36">
        <v>44562</v>
      </c>
      <c r="I6" s="331"/>
      <c r="J6" s="36" t="s">
        <v>432</v>
      </c>
      <c r="L6" s="35" t="s">
        <v>107</v>
      </c>
      <c r="N6" s="35" t="s">
        <v>433</v>
      </c>
      <c r="P6" s="35" t="s">
        <v>434</v>
      </c>
      <c r="R6" s="36">
        <v>44926</v>
      </c>
      <c r="T6" s="37" t="s">
        <v>148</v>
      </c>
      <c r="U6" s="102"/>
    </row>
    <row r="7" spans="1:27" x14ac:dyDescent="0.35">
      <c r="A7" s="89"/>
      <c r="B7" s="29">
        <v>303</v>
      </c>
      <c r="D7" s="30" t="s">
        <v>108</v>
      </c>
      <c r="F7" s="38">
        <f>5628+19921</f>
        <v>25549</v>
      </c>
      <c r="U7" s="102"/>
      <c r="Y7" s="32">
        <v>303</v>
      </c>
      <c r="AA7" s="30" t="s">
        <v>109</v>
      </c>
    </row>
    <row r="8" spans="1:27" x14ac:dyDescent="0.35">
      <c r="A8" s="89"/>
      <c r="B8" s="29">
        <v>304</v>
      </c>
      <c r="D8" s="30" t="s">
        <v>435</v>
      </c>
      <c r="F8" s="31">
        <v>8500</v>
      </c>
      <c r="H8" s="38">
        <v>8423</v>
      </c>
      <c r="I8" s="38"/>
      <c r="J8" s="38">
        <v>0</v>
      </c>
      <c r="L8" s="38">
        <v>0</v>
      </c>
      <c r="N8" s="38">
        <v>56</v>
      </c>
      <c r="P8" s="38">
        <f>+L8+N8</f>
        <v>56</v>
      </c>
      <c r="R8" s="38">
        <f>+H8+P8</f>
        <v>8479</v>
      </c>
      <c r="T8" s="33">
        <v>10</v>
      </c>
      <c r="U8" s="102"/>
      <c r="Y8" s="32">
        <v>304</v>
      </c>
      <c r="AA8" s="30" t="s">
        <v>110</v>
      </c>
    </row>
    <row r="9" spans="1:27" x14ac:dyDescent="0.35">
      <c r="A9" s="89"/>
      <c r="B9" s="29">
        <v>304</v>
      </c>
      <c r="D9" s="30" t="s">
        <v>435</v>
      </c>
      <c r="F9" s="332">
        <v>3070</v>
      </c>
      <c r="G9" s="332"/>
      <c r="H9" s="332">
        <v>3070</v>
      </c>
      <c r="I9" s="332"/>
      <c r="J9" s="332"/>
      <c r="K9" s="332"/>
      <c r="L9" s="332">
        <v>0</v>
      </c>
      <c r="M9" s="332"/>
      <c r="N9" s="332">
        <v>0</v>
      </c>
      <c r="O9" s="332"/>
      <c r="P9" s="332">
        <f>+L9+N9</f>
        <v>0</v>
      </c>
      <c r="R9" s="332">
        <f t="shared" ref="R9:R25" si="0">+H9+P9</f>
        <v>3070</v>
      </c>
      <c r="T9" s="33">
        <v>10</v>
      </c>
      <c r="U9" s="102"/>
      <c r="Y9" s="32">
        <v>304</v>
      </c>
      <c r="AA9" s="30" t="s">
        <v>110</v>
      </c>
    </row>
    <row r="10" spans="1:27" x14ac:dyDescent="0.35">
      <c r="A10" s="89"/>
      <c r="B10" s="29">
        <v>311</v>
      </c>
      <c r="D10" s="30" t="s">
        <v>94</v>
      </c>
      <c r="F10" s="332">
        <v>1525938</v>
      </c>
      <c r="G10" s="332"/>
      <c r="H10" s="332">
        <v>177674</v>
      </c>
      <c r="I10" s="332"/>
      <c r="J10" s="332"/>
      <c r="K10" s="332"/>
      <c r="L10" s="332">
        <v>46406</v>
      </c>
      <c r="M10" s="332"/>
      <c r="N10" s="332">
        <v>45043</v>
      </c>
      <c r="O10" s="332"/>
      <c r="P10" s="332">
        <f t="shared" ref="P10:P25" si="1">+L10+N10</f>
        <v>91449</v>
      </c>
      <c r="R10" s="332">
        <f t="shared" si="0"/>
        <v>269123</v>
      </c>
      <c r="T10" s="33">
        <v>20</v>
      </c>
      <c r="U10" s="102"/>
      <c r="Y10" s="32">
        <v>311</v>
      </c>
      <c r="AA10" s="30" t="s">
        <v>94</v>
      </c>
    </row>
    <row r="11" spans="1:27" x14ac:dyDescent="0.35">
      <c r="A11" s="89"/>
      <c r="B11" s="29">
        <v>330</v>
      </c>
      <c r="D11" s="30" t="s">
        <v>113</v>
      </c>
      <c r="F11" s="332">
        <v>2751456</v>
      </c>
      <c r="G11" s="332"/>
      <c r="H11" s="332">
        <v>1257069</v>
      </c>
      <c r="I11" s="332"/>
      <c r="J11" s="332"/>
      <c r="K11" s="332"/>
      <c r="L11" s="332">
        <v>104129</v>
      </c>
      <c r="M11" s="332"/>
      <c r="N11" s="332">
        <v>1217</v>
      </c>
      <c r="O11" s="332"/>
      <c r="P11" s="332">
        <f t="shared" si="1"/>
        <v>105346</v>
      </c>
      <c r="R11" s="332">
        <f t="shared" si="0"/>
        <v>1362415</v>
      </c>
      <c r="T11" s="33">
        <v>45</v>
      </c>
      <c r="U11" s="102"/>
      <c r="Y11" s="32">
        <v>330</v>
      </c>
      <c r="AA11" s="30" t="s">
        <v>113</v>
      </c>
    </row>
    <row r="12" spans="1:27" x14ac:dyDescent="0.35">
      <c r="A12" s="89"/>
      <c r="B12" s="29">
        <v>331</v>
      </c>
      <c r="D12" s="30" t="s">
        <v>114</v>
      </c>
      <c r="F12" s="332">
        <f>16005477</f>
        <v>16005477</v>
      </c>
      <c r="G12" s="332"/>
      <c r="H12" s="332">
        <f>4606497</f>
        <v>4606497</v>
      </c>
      <c r="I12" s="332"/>
      <c r="J12" s="332"/>
      <c r="K12" s="332"/>
      <c r="L12" s="332">
        <f>220127</f>
        <v>220127</v>
      </c>
      <c r="M12" s="332"/>
      <c r="N12" s="332">
        <v>0</v>
      </c>
      <c r="O12" s="332"/>
      <c r="P12" s="332">
        <f t="shared" si="1"/>
        <v>220127</v>
      </c>
      <c r="R12" s="332">
        <f t="shared" si="0"/>
        <v>4826624</v>
      </c>
      <c r="T12" s="333">
        <v>62.5</v>
      </c>
      <c r="U12" s="102"/>
      <c r="Y12" s="32">
        <v>331</v>
      </c>
      <c r="AA12" s="30" t="s">
        <v>114</v>
      </c>
    </row>
    <row r="13" spans="1:27" x14ac:dyDescent="0.35">
      <c r="A13" s="89"/>
      <c r="B13" s="29">
        <v>331</v>
      </c>
      <c r="D13" s="30" t="s">
        <v>436</v>
      </c>
      <c r="F13" s="332">
        <v>217605</v>
      </c>
      <c r="G13" s="332"/>
      <c r="H13" s="332">
        <v>172705</v>
      </c>
      <c r="I13" s="332"/>
      <c r="J13" s="332"/>
      <c r="K13" s="332"/>
      <c r="L13" s="332">
        <v>2090</v>
      </c>
      <c r="M13" s="332"/>
      <c r="N13" s="332">
        <v>25282</v>
      </c>
      <c r="O13" s="332"/>
      <c r="P13" s="332">
        <f t="shared" si="1"/>
        <v>27372</v>
      </c>
      <c r="R13" s="332">
        <f t="shared" si="0"/>
        <v>200077</v>
      </c>
      <c r="T13" s="33">
        <v>10</v>
      </c>
      <c r="U13" s="102"/>
    </row>
    <row r="14" spans="1:27" x14ac:dyDescent="0.35">
      <c r="A14" s="89"/>
      <c r="B14" s="29">
        <v>333</v>
      </c>
      <c r="D14" s="30" t="s">
        <v>437</v>
      </c>
      <c r="F14" s="332">
        <v>1161988</v>
      </c>
      <c r="G14" s="332"/>
      <c r="H14" s="332">
        <v>400576</v>
      </c>
      <c r="I14" s="332"/>
      <c r="J14" s="332"/>
      <c r="K14" s="332"/>
      <c r="L14" s="332">
        <v>34410</v>
      </c>
      <c r="M14" s="332"/>
      <c r="N14" s="332">
        <v>9356</v>
      </c>
      <c r="O14" s="332"/>
      <c r="P14" s="332">
        <f t="shared" si="1"/>
        <v>43766</v>
      </c>
      <c r="R14" s="332">
        <f t="shared" si="0"/>
        <v>444342</v>
      </c>
      <c r="T14" s="33">
        <v>40</v>
      </c>
      <c r="U14" s="102"/>
      <c r="Y14" s="32">
        <v>334</v>
      </c>
      <c r="AA14" s="30" t="s">
        <v>115</v>
      </c>
    </row>
    <row r="15" spans="1:27" x14ac:dyDescent="0.35">
      <c r="A15" s="89"/>
      <c r="B15" s="29">
        <v>334</v>
      </c>
      <c r="D15" s="30" t="s">
        <v>438</v>
      </c>
      <c r="F15" s="332">
        <v>1738558</v>
      </c>
      <c r="G15" s="332"/>
      <c r="H15" s="332">
        <v>366845</v>
      </c>
      <c r="I15" s="332"/>
      <c r="J15" s="332">
        <v>-8225</v>
      </c>
      <c r="K15" s="332"/>
      <c r="L15" s="332">
        <v>75318</v>
      </c>
      <c r="M15" s="332"/>
      <c r="N15" s="332">
        <v>74126</v>
      </c>
      <c r="O15" s="332"/>
      <c r="P15" s="332">
        <f t="shared" si="1"/>
        <v>149444</v>
      </c>
      <c r="R15" s="332">
        <f>+H15+P15+J15</f>
        <v>508064</v>
      </c>
      <c r="T15" s="33">
        <v>20</v>
      </c>
      <c r="U15" s="102"/>
      <c r="Y15" s="32">
        <v>334</v>
      </c>
      <c r="AA15" s="30" t="s">
        <v>115</v>
      </c>
    </row>
    <row r="16" spans="1:27" x14ac:dyDescent="0.35">
      <c r="A16" s="89"/>
      <c r="B16" s="29">
        <v>334</v>
      </c>
      <c r="D16" s="30" t="s">
        <v>459</v>
      </c>
      <c r="F16" s="332">
        <v>923870</v>
      </c>
      <c r="G16" s="332"/>
      <c r="H16" s="332">
        <v>380747</v>
      </c>
      <c r="I16" s="332"/>
      <c r="J16" s="332"/>
      <c r="K16" s="332"/>
      <c r="L16" s="332">
        <v>22414</v>
      </c>
      <c r="M16" s="332"/>
      <c r="N16" s="332">
        <v>850</v>
      </c>
      <c r="O16" s="332"/>
      <c r="P16" s="332">
        <f t="shared" si="1"/>
        <v>23264</v>
      </c>
      <c r="R16" s="332">
        <f t="shared" si="0"/>
        <v>404011</v>
      </c>
      <c r="T16" s="33">
        <v>45</v>
      </c>
      <c r="U16" s="102"/>
      <c r="Y16" s="32">
        <v>334</v>
      </c>
      <c r="AA16" s="30" t="s">
        <v>115</v>
      </c>
    </row>
    <row r="17" spans="1:27" x14ac:dyDescent="0.35">
      <c r="A17" s="89"/>
      <c r="B17" s="29">
        <v>335</v>
      </c>
      <c r="D17" s="30" t="s">
        <v>116</v>
      </c>
      <c r="F17" s="332">
        <v>649589</v>
      </c>
      <c r="G17" s="332"/>
      <c r="H17" s="332">
        <v>135917</v>
      </c>
      <c r="I17" s="332"/>
      <c r="J17" s="332"/>
      <c r="K17" s="332"/>
      <c r="L17" s="332">
        <v>12981</v>
      </c>
      <c r="M17" s="332"/>
      <c r="N17" s="332">
        <v>0</v>
      </c>
      <c r="O17" s="332"/>
      <c r="P17" s="332">
        <f t="shared" si="1"/>
        <v>12981</v>
      </c>
      <c r="R17" s="332">
        <f t="shared" si="0"/>
        <v>148898</v>
      </c>
      <c r="T17" s="33">
        <v>50</v>
      </c>
      <c r="U17" s="102"/>
      <c r="Y17" s="32">
        <v>335</v>
      </c>
      <c r="AA17" s="30" t="s">
        <v>116</v>
      </c>
    </row>
    <row r="18" spans="1:27" x14ac:dyDescent="0.35">
      <c r="A18" s="89"/>
      <c r="B18" s="29">
        <v>339</v>
      </c>
      <c r="D18" s="30" t="s">
        <v>440</v>
      </c>
      <c r="F18" s="332">
        <v>179</v>
      </c>
      <c r="G18" s="332"/>
      <c r="H18" s="332">
        <v>121</v>
      </c>
      <c r="I18" s="332"/>
      <c r="J18" s="332"/>
      <c r="K18" s="332"/>
      <c r="L18" s="332">
        <v>0</v>
      </c>
      <c r="M18" s="332"/>
      <c r="N18" s="332">
        <v>0</v>
      </c>
      <c r="O18" s="332"/>
      <c r="P18" s="332">
        <f t="shared" si="1"/>
        <v>0</v>
      </c>
      <c r="R18" s="332">
        <f t="shared" si="0"/>
        <v>121</v>
      </c>
      <c r="T18" s="33">
        <v>50</v>
      </c>
      <c r="U18" s="102"/>
    </row>
    <row r="19" spans="1:27" x14ac:dyDescent="0.35">
      <c r="A19" s="89"/>
      <c r="B19" s="29">
        <v>340</v>
      </c>
      <c r="D19" s="30" t="s">
        <v>441</v>
      </c>
      <c r="F19" s="332">
        <f>172318-85880</f>
        <v>86438</v>
      </c>
      <c r="G19" s="332"/>
      <c r="H19" s="332">
        <f>105353-53827</f>
        <v>51526</v>
      </c>
      <c r="I19" s="332"/>
      <c r="J19" s="332"/>
      <c r="K19" s="332"/>
      <c r="L19" s="332">
        <f>18043-5726</f>
        <v>12317</v>
      </c>
      <c r="M19" s="332"/>
      <c r="N19" s="332">
        <v>0</v>
      </c>
      <c r="O19" s="332"/>
      <c r="P19" s="332">
        <f t="shared" si="1"/>
        <v>12317</v>
      </c>
      <c r="R19" s="332">
        <f t="shared" si="0"/>
        <v>63843</v>
      </c>
      <c r="T19" s="33">
        <v>5</v>
      </c>
      <c r="U19" s="102"/>
      <c r="Y19" s="32">
        <v>340</v>
      </c>
      <c r="AA19" s="30" t="s">
        <v>117</v>
      </c>
    </row>
    <row r="20" spans="1:27" x14ac:dyDescent="0.35">
      <c r="A20" s="89"/>
      <c r="B20" s="29">
        <v>340</v>
      </c>
      <c r="D20" s="30" t="s">
        <v>442</v>
      </c>
      <c r="F20" s="332">
        <f>79055+4434+581+180+1630</f>
        <v>85880</v>
      </c>
      <c r="G20" s="332"/>
      <c r="H20" s="332">
        <f>79055+4434+581+180+1630-28987-1848-261-87-870</f>
        <v>53827</v>
      </c>
      <c r="I20" s="332"/>
      <c r="J20" s="332"/>
      <c r="K20" s="332"/>
      <c r="L20" s="332">
        <f>5270+296+39+12+109</f>
        <v>5726</v>
      </c>
      <c r="M20" s="332"/>
      <c r="N20" s="332">
        <v>0</v>
      </c>
      <c r="O20" s="332"/>
      <c r="P20" s="332">
        <f t="shared" si="1"/>
        <v>5726</v>
      </c>
      <c r="R20" s="332">
        <f t="shared" si="0"/>
        <v>59553</v>
      </c>
      <c r="T20" s="33">
        <v>15</v>
      </c>
      <c r="U20" s="102"/>
    </row>
    <row r="21" spans="1:27" x14ac:dyDescent="0.35">
      <c r="A21" s="89"/>
      <c r="B21" s="29">
        <v>340</v>
      </c>
      <c r="D21" s="30" t="s">
        <v>443</v>
      </c>
      <c r="F21" s="332">
        <v>68924</v>
      </c>
      <c r="G21" s="332"/>
      <c r="H21" s="332">
        <v>56043</v>
      </c>
      <c r="I21" s="332"/>
      <c r="J21" s="332"/>
      <c r="K21" s="332"/>
      <c r="L21" s="332">
        <v>5340</v>
      </c>
      <c r="M21" s="332"/>
      <c r="N21" s="332">
        <v>0</v>
      </c>
      <c r="O21" s="332"/>
      <c r="P21" s="332">
        <f t="shared" si="1"/>
        <v>5340</v>
      </c>
      <c r="R21" s="332">
        <f t="shared" si="0"/>
        <v>61383</v>
      </c>
      <c r="T21" s="33">
        <v>5</v>
      </c>
      <c r="U21" s="102"/>
      <c r="Y21" s="32">
        <v>340</v>
      </c>
      <c r="AA21" s="30" t="s">
        <v>117</v>
      </c>
    </row>
    <row r="22" spans="1:27" x14ac:dyDescent="0.35">
      <c r="A22" s="89"/>
      <c r="B22" s="29">
        <v>340</v>
      </c>
      <c r="D22" s="30" t="s">
        <v>117</v>
      </c>
      <c r="F22" s="332">
        <v>19313</v>
      </c>
      <c r="G22" s="332"/>
      <c r="H22" s="332">
        <v>14774</v>
      </c>
      <c r="I22" s="332"/>
      <c r="J22" s="332"/>
      <c r="K22" s="332"/>
      <c r="L22" s="332">
        <v>256</v>
      </c>
      <c r="M22" s="332"/>
      <c r="N22" s="332">
        <v>0</v>
      </c>
      <c r="O22" s="332"/>
      <c r="P22" s="332">
        <f t="shared" si="1"/>
        <v>256</v>
      </c>
      <c r="R22" s="332">
        <f t="shared" si="0"/>
        <v>15030</v>
      </c>
      <c r="T22" s="333">
        <v>22.5</v>
      </c>
      <c r="U22" s="102"/>
      <c r="Y22" s="32">
        <v>340</v>
      </c>
      <c r="AA22" s="30" t="s">
        <v>118</v>
      </c>
    </row>
    <row r="23" spans="1:27" x14ac:dyDescent="0.35">
      <c r="A23" s="89"/>
      <c r="B23" s="29">
        <v>341</v>
      </c>
      <c r="D23" s="30" t="s">
        <v>477</v>
      </c>
      <c r="F23" s="332">
        <v>42611</v>
      </c>
      <c r="G23" s="332"/>
      <c r="H23" s="332">
        <v>42611</v>
      </c>
      <c r="I23" s="332"/>
      <c r="J23" s="332"/>
      <c r="K23" s="332"/>
      <c r="L23" s="332">
        <v>0</v>
      </c>
      <c r="M23" s="332"/>
      <c r="N23" s="332">
        <v>0</v>
      </c>
      <c r="O23" s="332"/>
      <c r="P23" s="332">
        <f t="shared" si="1"/>
        <v>0</v>
      </c>
      <c r="R23" s="332">
        <f t="shared" si="0"/>
        <v>42611</v>
      </c>
      <c r="T23" s="33">
        <v>7</v>
      </c>
      <c r="U23" s="102"/>
      <c r="Y23" s="32">
        <v>341</v>
      </c>
      <c r="AA23" s="30" t="s">
        <v>119</v>
      </c>
    </row>
    <row r="24" spans="1:27" x14ac:dyDescent="0.35">
      <c r="A24" s="89"/>
      <c r="B24" s="29">
        <v>343</v>
      </c>
      <c r="D24" s="30" t="s">
        <v>444</v>
      </c>
      <c r="F24" s="332">
        <v>25300</v>
      </c>
      <c r="G24" s="332"/>
      <c r="H24" s="332">
        <v>13123</v>
      </c>
      <c r="I24" s="332"/>
      <c r="J24" s="332"/>
      <c r="K24" s="332"/>
      <c r="L24" s="332">
        <v>1193</v>
      </c>
      <c r="M24" s="332"/>
      <c r="N24" s="332">
        <v>0</v>
      </c>
      <c r="O24" s="332"/>
      <c r="P24" s="332">
        <f t="shared" si="1"/>
        <v>1193</v>
      </c>
      <c r="R24" s="332">
        <f t="shared" si="0"/>
        <v>14316</v>
      </c>
      <c r="T24" s="333">
        <v>12.5</v>
      </c>
      <c r="U24" s="102"/>
      <c r="Y24" s="32">
        <v>347</v>
      </c>
      <c r="AA24" s="30" t="s">
        <v>120</v>
      </c>
    </row>
    <row r="25" spans="1:27" x14ac:dyDescent="0.35">
      <c r="A25" s="89"/>
      <c r="B25" s="29">
        <v>346</v>
      </c>
      <c r="D25" s="30" t="s">
        <v>445</v>
      </c>
      <c r="F25" s="332">
        <v>25792</v>
      </c>
      <c r="G25" s="332"/>
      <c r="H25" s="332">
        <v>15154</v>
      </c>
      <c r="I25" s="332"/>
      <c r="J25" s="332"/>
      <c r="K25" s="332"/>
      <c r="L25" s="332">
        <v>2048</v>
      </c>
      <c r="M25" s="332"/>
      <c r="N25" s="332">
        <v>0</v>
      </c>
      <c r="O25" s="332"/>
      <c r="P25" s="332">
        <f t="shared" si="1"/>
        <v>2048</v>
      </c>
      <c r="R25" s="332">
        <f t="shared" si="0"/>
        <v>17202</v>
      </c>
      <c r="T25" s="33">
        <v>10</v>
      </c>
      <c r="U25" s="102"/>
      <c r="Y25" s="32">
        <v>347</v>
      </c>
      <c r="AA25" s="30" t="s">
        <v>121</v>
      </c>
    </row>
    <row r="26" spans="1:27" ht="14.25" thickBot="1" x14ac:dyDescent="0.45">
      <c r="A26" s="89"/>
      <c r="F26" s="39">
        <f>SUM(F7:F25)</f>
        <v>25366037</v>
      </c>
      <c r="H26" s="39">
        <f>SUM(H8:H25)</f>
        <v>7756702</v>
      </c>
      <c r="I26" s="334"/>
      <c r="J26" s="39">
        <f>SUM(J8:J25)</f>
        <v>-8225</v>
      </c>
      <c r="L26" s="39">
        <f>SUM(L8:L25)</f>
        <v>544755</v>
      </c>
      <c r="N26" s="39">
        <f>SUM(N8:N25)</f>
        <v>155930</v>
      </c>
      <c r="P26" s="335">
        <f>SUM(P8:P25)</f>
        <v>700685</v>
      </c>
      <c r="R26" s="39">
        <f>SUM(R8:R25)</f>
        <v>8449162</v>
      </c>
      <c r="U26" s="102"/>
    </row>
    <row r="27" spans="1:27" ht="13.9" thickTop="1" x14ac:dyDescent="0.35">
      <c r="A27" s="90"/>
      <c r="B27" s="109"/>
      <c r="C27" s="87"/>
      <c r="D27" s="87"/>
      <c r="E27" s="87"/>
      <c r="F27" s="88"/>
      <c r="G27" s="87"/>
      <c r="H27" s="88"/>
      <c r="I27" s="88"/>
      <c r="J27" s="88"/>
      <c r="K27" s="87"/>
      <c r="L27" s="88"/>
      <c r="M27" s="87"/>
      <c r="N27" s="88"/>
      <c r="O27" s="87"/>
      <c r="P27" s="88"/>
      <c r="Q27" s="87"/>
      <c r="R27" s="88"/>
      <c r="S27" s="87"/>
      <c r="T27" s="37"/>
      <c r="U27" s="103"/>
    </row>
    <row r="28" spans="1:27" x14ac:dyDescent="0.35">
      <c r="A28" s="100"/>
      <c r="B28" s="447"/>
      <c r="C28" s="448"/>
      <c r="D28" s="448"/>
      <c r="E28" s="448"/>
      <c r="F28" s="449"/>
      <c r="G28" s="448"/>
      <c r="H28" s="449"/>
      <c r="I28" s="449"/>
      <c r="J28" s="449"/>
      <c r="K28" s="448"/>
      <c r="L28" s="449"/>
      <c r="M28" s="448"/>
      <c r="N28" s="449"/>
      <c r="O28" s="448"/>
      <c r="P28" s="449"/>
      <c r="Q28" s="448"/>
      <c r="R28" s="449"/>
      <c r="S28" s="448"/>
      <c r="T28" s="450"/>
      <c r="U28" s="101"/>
    </row>
    <row r="29" spans="1:27" x14ac:dyDescent="0.35">
      <c r="A29" s="89"/>
      <c r="B29" s="29" t="s">
        <v>128</v>
      </c>
      <c r="D29" s="30" t="s">
        <v>426</v>
      </c>
      <c r="P29" s="31">
        <f>-N26</f>
        <v>-155930</v>
      </c>
      <c r="U29" s="102"/>
    </row>
    <row r="30" spans="1:27" x14ac:dyDescent="0.35">
      <c r="A30" s="89"/>
      <c r="U30" s="102"/>
    </row>
    <row r="31" spans="1:27" x14ac:dyDescent="0.35">
      <c r="A31" s="89"/>
      <c r="B31" s="29" t="s">
        <v>130</v>
      </c>
      <c r="D31" s="336" t="s">
        <v>446</v>
      </c>
      <c r="F31" s="30"/>
      <c r="H31" s="30"/>
      <c r="I31" s="30"/>
      <c r="J31" s="30"/>
      <c r="L31" s="30"/>
      <c r="N31" s="30"/>
      <c r="P31" s="30"/>
      <c r="U31" s="102"/>
    </row>
    <row r="32" spans="1:27" x14ac:dyDescent="0.35">
      <c r="A32" s="89"/>
      <c r="D32" s="30" t="s">
        <v>330</v>
      </c>
      <c r="P32" s="31">
        <v>60970</v>
      </c>
      <c r="U32" s="102"/>
    </row>
    <row r="33" spans="1:21" x14ac:dyDescent="0.35">
      <c r="A33" s="89"/>
      <c r="D33" s="30" t="s">
        <v>332</v>
      </c>
      <c r="P33" s="31">
        <v>4330</v>
      </c>
      <c r="U33" s="102"/>
    </row>
    <row r="34" spans="1:21" x14ac:dyDescent="0.35">
      <c r="A34" s="89"/>
      <c r="D34" s="30" t="s">
        <v>333</v>
      </c>
      <c r="P34" s="31">
        <v>3408</v>
      </c>
      <c r="U34" s="102"/>
    </row>
    <row r="35" spans="1:21" x14ac:dyDescent="0.35">
      <c r="A35" s="89"/>
      <c r="D35" s="30" t="s">
        <v>334</v>
      </c>
      <c r="P35" s="31">
        <v>1847</v>
      </c>
      <c r="U35" s="102"/>
    </row>
    <row r="36" spans="1:21" x14ac:dyDescent="0.35">
      <c r="A36" s="89"/>
      <c r="D36" s="30" t="s">
        <v>336</v>
      </c>
      <c r="P36" s="31">
        <v>5686</v>
      </c>
      <c r="U36" s="102"/>
    </row>
    <row r="37" spans="1:21" x14ac:dyDescent="0.35">
      <c r="A37" s="89"/>
      <c r="D37" s="30" t="s">
        <v>337</v>
      </c>
      <c r="P37" s="31">
        <v>444</v>
      </c>
      <c r="U37" s="102"/>
    </row>
    <row r="38" spans="1:21" x14ac:dyDescent="0.35">
      <c r="A38" s="89"/>
      <c r="D38" s="30" t="s">
        <v>338</v>
      </c>
      <c r="P38" s="31">
        <v>5339</v>
      </c>
      <c r="U38" s="102"/>
    </row>
    <row r="39" spans="1:21" x14ac:dyDescent="0.35">
      <c r="A39" s="89"/>
      <c r="U39" s="102"/>
    </row>
    <row r="40" spans="1:21" x14ac:dyDescent="0.35">
      <c r="A40" s="89"/>
      <c r="B40" s="29" t="s">
        <v>130</v>
      </c>
      <c r="D40" s="336" t="s">
        <v>427</v>
      </c>
      <c r="P40" s="31">
        <v>41654</v>
      </c>
      <c r="U40" s="102"/>
    </row>
    <row r="41" spans="1:21" x14ac:dyDescent="0.35">
      <c r="A41" s="89"/>
      <c r="U41" s="102"/>
    </row>
    <row r="42" spans="1:21" x14ac:dyDescent="0.35">
      <c r="A42" s="89"/>
      <c r="B42" s="29" t="s">
        <v>127</v>
      </c>
      <c r="D42" s="30" t="s">
        <v>447</v>
      </c>
      <c r="P42" s="434">
        <f>SUM(P29:P41)</f>
        <v>-32252</v>
      </c>
      <c r="U42" s="102"/>
    </row>
    <row r="43" spans="1:21" x14ac:dyDescent="0.35">
      <c r="A43" s="89"/>
      <c r="U43" s="102"/>
    </row>
    <row r="44" spans="1:21" ht="13.9" thickBot="1" x14ac:dyDescent="0.4">
      <c r="A44" s="89"/>
      <c r="B44" s="29" t="s">
        <v>448</v>
      </c>
      <c r="D44" s="30" t="s">
        <v>449</v>
      </c>
      <c r="P44" s="337">
        <f>+P26+P42</f>
        <v>668433</v>
      </c>
      <c r="U44" s="102"/>
    </row>
    <row r="45" spans="1:21" ht="13.9" thickTop="1" x14ac:dyDescent="0.35">
      <c r="A45" s="90"/>
      <c r="B45" s="109"/>
      <c r="C45" s="87"/>
      <c r="D45" s="87"/>
      <c r="E45" s="87"/>
      <c r="F45" s="88"/>
      <c r="G45" s="87"/>
      <c r="H45" s="88"/>
      <c r="I45" s="88"/>
      <c r="J45" s="88"/>
      <c r="K45" s="87"/>
      <c r="L45" s="88"/>
      <c r="M45" s="87"/>
      <c r="N45" s="88"/>
      <c r="O45" s="87"/>
      <c r="P45" s="88"/>
      <c r="Q45" s="87"/>
      <c r="R45" s="88"/>
      <c r="S45" s="87"/>
      <c r="T45" s="37"/>
      <c r="U45" s="103"/>
    </row>
    <row r="50" spans="1:21" ht="15" x14ac:dyDescent="0.4">
      <c r="B50" s="464"/>
      <c r="C50" s="464"/>
      <c r="D50" s="464"/>
      <c r="E50" s="464"/>
      <c r="F50" s="464"/>
      <c r="G50" s="464"/>
      <c r="H50" s="464"/>
      <c r="I50" s="464"/>
      <c r="J50" s="464"/>
      <c r="K50" s="464"/>
      <c r="L50" s="464"/>
      <c r="M50" s="464"/>
      <c r="N50" s="464"/>
      <c r="O50" s="464"/>
      <c r="P50" s="464"/>
      <c r="Q50" s="464"/>
      <c r="R50" s="464"/>
      <c r="S50" s="464"/>
      <c r="T50" s="464"/>
    </row>
    <row r="51" spans="1:21" ht="22.15" x14ac:dyDescent="0.55000000000000004">
      <c r="A51" s="100"/>
      <c r="B51" s="471" t="s">
        <v>450</v>
      </c>
      <c r="C51" s="471"/>
      <c r="D51" s="471"/>
      <c r="E51" s="471"/>
      <c r="F51" s="471"/>
      <c r="G51" s="471"/>
      <c r="H51" s="471"/>
      <c r="I51" s="471"/>
      <c r="J51" s="471"/>
      <c r="K51" s="471"/>
      <c r="L51" s="471"/>
      <c r="M51" s="471"/>
      <c r="N51" s="471"/>
      <c r="O51" s="471"/>
      <c r="P51" s="471"/>
      <c r="Q51" s="471"/>
      <c r="R51" s="471"/>
      <c r="S51" s="471"/>
      <c r="T51" s="471"/>
      <c r="U51" s="101"/>
    </row>
    <row r="52" spans="1:21" ht="22.15" x14ac:dyDescent="0.55000000000000004">
      <c r="A52" s="89"/>
      <c r="B52" s="469" t="s">
        <v>164</v>
      </c>
      <c r="C52" s="470"/>
      <c r="D52" s="470"/>
      <c r="E52" s="470"/>
      <c r="F52" s="470"/>
      <c r="G52" s="470"/>
      <c r="H52" s="470"/>
      <c r="I52" s="470"/>
      <c r="J52" s="470"/>
      <c r="K52" s="470"/>
      <c r="L52" s="470"/>
      <c r="M52" s="470"/>
      <c r="N52" s="470"/>
      <c r="O52" s="470"/>
      <c r="P52" s="470"/>
      <c r="Q52" s="470"/>
      <c r="R52" s="470"/>
      <c r="S52" s="470"/>
      <c r="T52" s="470"/>
      <c r="U52" s="102"/>
    </row>
    <row r="53" spans="1:21" x14ac:dyDescent="0.35">
      <c r="A53" s="89"/>
      <c r="U53" s="102"/>
    </row>
    <row r="54" spans="1:21" x14ac:dyDescent="0.35">
      <c r="A54" s="89"/>
      <c r="B54" s="29" t="s">
        <v>131</v>
      </c>
      <c r="F54" s="86" t="s">
        <v>104</v>
      </c>
      <c r="H54" s="86" t="s">
        <v>105</v>
      </c>
      <c r="I54" s="86"/>
      <c r="J54" s="86" t="s">
        <v>451</v>
      </c>
      <c r="L54" s="33">
        <v>2023</v>
      </c>
      <c r="N54" s="33" t="s">
        <v>452</v>
      </c>
      <c r="P54" s="33" t="s">
        <v>453</v>
      </c>
      <c r="R54" s="86" t="s">
        <v>105</v>
      </c>
      <c r="T54" s="33" t="s">
        <v>147</v>
      </c>
      <c r="U54" s="102"/>
    </row>
    <row r="55" spans="1:21" x14ac:dyDescent="0.35">
      <c r="A55" s="89"/>
      <c r="B55" s="109" t="s">
        <v>99</v>
      </c>
      <c r="D55" s="34" t="s">
        <v>106</v>
      </c>
      <c r="F55" s="35" t="s">
        <v>454</v>
      </c>
      <c r="H55" s="36">
        <v>44927</v>
      </c>
      <c r="I55" s="331"/>
      <c r="J55" s="36" t="s">
        <v>432</v>
      </c>
      <c r="L55" s="35" t="s">
        <v>107</v>
      </c>
      <c r="N55" s="35" t="s">
        <v>433</v>
      </c>
      <c r="P55" s="35" t="s">
        <v>434</v>
      </c>
      <c r="R55" s="36">
        <v>45291</v>
      </c>
      <c r="T55" s="37" t="s">
        <v>148</v>
      </c>
      <c r="U55" s="102"/>
    </row>
    <row r="56" spans="1:21" x14ac:dyDescent="0.35">
      <c r="A56" s="89"/>
      <c r="B56" s="29">
        <v>303</v>
      </c>
      <c r="D56" s="30" t="s">
        <v>108</v>
      </c>
      <c r="F56" s="38">
        <f>5628+19921</f>
        <v>25549</v>
      </c>
      <c r="U56" s="102"/>
    </row>
    <row r="57" spans="1:21" x14ac:dyDescent="0.35">
      <c r="A57" s="89"/>
      <c r="B57" s="29">
        <v>3044</v>
      </c>
      <c r="D57" s="30" t="s">
        <v>435</v>
      </c>
      <c r="F57" s="31">
        <v>8500</v>
      </c>
      <c r="H57" s="38">
        <v>8479</v>
      </c>
      <c r="I57" s="38"/>
      <c r="J57" s="38">
        <v>0</v>
      </c>
      <c r="L57" s="38">
        <v>0</v>
      </c>
      <c r="N57" s="38">
        <v>0</v>
      </c>
      <c r="P57" s="38">
        <f>+L57+N57</f>
        <v>0</v>
      </c>
      <c r="R57" s="38">
        <f>+H57+P57</f>
        <v>8479</v>
      </c>
      <c r="T57" s="33">
        <v>10</v>
      </c>
      <c r="U57" s="102"/>
    </row>
    <row r="58" spans="1:21" x14ac:dyDescent="0.35">
      <c r="A58" s="89"/>
      <c r="B58" s="29">
        <v>3045</v>
      </c>
      <c r="D58" s="30" t="s">
        <v>435</v>
      </c>
      <c r="F58" s="332">
        <v>3070</v>
      </c>
      <c r="G58" s="332"/>
      <c r="H58" s="332">
        <v>3070</v>
      </c>
      <c r="I58" s="332"/>
      <c r="J58" s="332"/>
      <c r="K58" s="332"/>
      <c r="L58" s="332">
        <v>0</v>
      </c>
      <c r="M58" s="332"/>
      <c r="N58" s="332">
        <v>0</v>
      </c>
      <c r="O58" s="332"/>
      <c r="P58" s="332">
        <f>+L58+N58</f>
        <v>0</v>
      </c>
      <c r="R58" s="332">
        <f t="shared" ref="R58:R74" si="2">+H58+P58+J58</f>
        <v>3070</v>
      </c>
      <c r="T58" s="33">
        <v>10</v>
      </c>
      <c r="U58" s="102"/>
    </row>
    <row r="59" spans="1:21" x14ac:dyDescent="0.35">
      <c r="A59" s="89"/>
      <c r="B59" s="29">
        <v>305</v>
      </c>
      <c r="D59" s="30" t="s">
        <v>111</v>
      </c>
      <c r="F59" s="332">
        <v>0</v>
      </c>
      <c r="G59" s="332"/>
      <c r="H59" s="332">
        <v>0</v>
      </c>
      <c r="I59" s="332"/>
      <c r="J59" s="332"/>
      <c r="K59" s="332"/>
      <c r="L59" s="332">
        <v>0</v>
      </c>
      <c r="M59" s="332"/>
      <c r="N59" s="332">
        <v>0</v>
      </c>
      <c r="O59" s="332"/>
      <c r="P59" s="332">
        <f t="shared" ref="P59:P77" si="3">+L59+N59</f>
        <v>0</v>
      </c>
      <c r="R59" s="332">
        <f t="shared" si="2"/>
        <v>0</v>
      </c>
      <c r="U59" s="102"/>
    </row>
    <row r="60" spans="1:21" x14ac:dyDescent="0.35">
      <c r="A60" s="89"/>
      <c r="B60" s="29">
        <v>309</v>
      </c>
      <c r="D60" s="30" t="s">
        <v>112</v>
      </c>
      <c r="F60" s="332">
        <v>0</v>
      </c>
      <c r="G60" s="332"/>
      <c r="H60" s="332">
        <v>0</v>
      </c>
      <c r="I60" s="332"/>
      <c r="J60" s="332"/>
      <c r="K60" s="332"/>
      <c r="L60" s="332">
        <v>0</v>
      </c>
      <c r="M60" s="332"/>
      <c r="N60" s="332">
        <v>0</v>
      </c>
      <c r="O60" s="332"/>
      <c r="P60" s="332">
        <f t="shared" si="3"/>
        <v>0</v>
      </c>
      <c r="R60" s="332">
        <f t="shared" si="2"/>
        <v>0</v>
      </c>
      <c r="U60" s="102"/>
    </row>
    <row r="61" spans="1:21" x14ac:dyDescent="0.35">
      <c r="A61" s="89"/>
      <c r="B61" s="29">
        <v>3112</v>
      </c>
      <c r="D61" s="30" t="s">
        <v>94</v>
      </c>
      <c r="F61" s="332">
        <v>1525938</v>
      </c>
      <c r="G61" s="332"/>
      <c r="H61" s="332">
        <v>269123</v>
      </c>
      <c r="I61" s="332"/>
      <c r="J61" s="332"/>
      <c r="K61" s="332"/>
      <c r="L61" s="332">
        <v>47387</v>
      </c>
      <c r="M61" s="332"/>
      <c r="N61" s="332">
        <v>0</v>
      </c>
      <c r="O61" s="332"/>
      <c r="P61" s="332">
        <f t="shared" si="3"/>
        <v>47387</v>
      </c>
      <c r="R61" s="332">
        <f t="shared" si="2"/>
        <v>316510</v>
      </c>
      <c r="T61" s="33">
        <v>20</v>
      </c>
      <c r="U61" s="102"/>
    </row>
    <row r="62" spans="1:21" x14ac:dyDescent="0.35">
      <c r="A62" s="89"/>
      <c r="B62" s="29">
        <v>3304</v>
      </c>
      <c r="D62" s="30" t="s">
        <v>113</v>
      </c>
      <c r="F62" s="332">
        <v>2751456</v>
      </c>
      <c r="G62" s="332"/>
      <c r="H62" s="332">
        <v>1362415</v>
      </c>
      <c r="I62" s="332"/>
      <c r="J62" s="332"/>
      <c r="K62" s="332"/>
      <c r="L62" s="332">
        <v>102757</v>
      </c>
      <c r="M62" s="332"/>
      <c r="N62" s="332">
        <v>0</v>
      </c>
      <c r="O62" s="332"/>
      <c r="P62" s="332">
        <f t="shared" si="3"/>
        <v>102757</v>
      </c>
      <c r="R62" s="332">
        <f t="shared" si="2"/>
        <v>1465172</v>
      </c>
      <c r="T62" s="33">
        <v>45</v>
      </c>
      <c r="U62" s="102"/>
    </row>
    <row r="63" spans="1:21" x14ac:dyDescent="0.35">
      <c r="A63" s="89"/>
      <c r="B63" s="29">
        <v>3314</v>
      </c>
      <c r="D63" s="30" t="s">
        <v>114</v>
      </c>
      <c r="F63" s="332">
        <v>16507563</v>
      </c>
      <c r="G63" s="332"/>
      <c r="H63" s="332">
        <v>4826624</v>
      </c>
      <c r="I63" s="332"/>
      <c r="J63" s="332"/>
      <c r="K63" s="332"/>
      <c r="L63" s="332">
        <v>221160</v>
      </c>
      <c r="M63" s="332"/>
      <c r="N63" s="332">
        <v>0</v>
      </c>
      <c r="O63" s="332"/>
      <c r="P63" s="332">
        <f t="shared" si="3"/>
        <v>221160</v>
      </c>
      <c r="R63" s="332">
        <f t="shared" si="2"/>
        <v>5047784</v>
      </c>
      <c r="T63" s="333">
        <v>62.5</v>
      </c>
      <c r="U63" s="102"/>
    </row>
    <row r="64" spans="1:21" x14ac:dyDescent="0.35">
      <c r="A64" s="89"/>
      <c r="B64" s="29">
        <v>3324</v>
      </c>
      <c r="D64" s="30" t="s">
        <v>436</v>
      </c>
      <c r="F64" s="332">
        <v>217605</v>
      </c>
      <c r="G64" s="332"/>
      <c r="H64" s="332">
        <v>200077</v>
      </c>
      <c r="I64" s="332"/>
      <c r="J64" s="332"/>
      <c r="K64" s="332"/>
      <c r="L64" s="332">
        <v>2125</v>
      </c>
      <c r="M64" s="332"/>
      <c r="N64" s="332">
        <v>0</v>
      </c>
      <c r="O64" s="332"/>
      <c r="P64" s="332">
        <f t="shared" si="3"/>
        <v>2125</v>
      </c>
      <c r="R64" s="332">
        <f t="shared" si="2"/>
        <v>202202</v>
      </c>
      <c r="T64" s="333">
        <v>10</v>
      </c>
      <c r="U64" s="102"/>
    </row>
    <row r="65" spans="1:21" x14ac:dyDescent="0.35">
      <c r="A65" s="89"/>
      <c r="B65" s="29">
        <v>3334</v>
      </c>
      <c r="D65" s="30" t="s">
        <v>437</v>
      </c>
      <c r="F65" s="332">
        <v>1215347</v>
      </c>
      <c r="G65" s="332"/>
      <c r="H65" s="332">
        <v>444342</v>
      </c>
      <c r="I65" s="332"/>
      <c r="J65" s="332"/>
      <c r="K65" s="332"/>
      <c r="L65" s="332">
        <v>40157</v>
      </c>
      <c r="M65" s="332"/>
      <c r="N65" s="332">
        <v>0</v>
      </c>
      <c r="O65" s="332"/>
      <c r="P65" s="332">
        <f t="shared" si="3"/>
        <v>40157</v>
      </c>
      <c r="R65" s="332">
        <f t="shared" si="2"/>
        <v>484499</v>
      </c>
      <c r="T65" s="33">
        <v>40</v>
      </c>
      <c r="U65" s="102"/>
    </row>
    <row r="66" spans="1:21" x14ac:dyDescent="0.35">
      <c r="A66" s="89"/>
      <c r="B66" s="29">
        <v>3344</v>
      </c>
      <c r="D66" s="30" t="s">
        <v>438</v>
      </c>
      <c r="F66" s="332">
        <f>1769481-413232-3544</f>
        <v>1352705</v>
      </c>
      <c r="G66" s="332"/>
      <c r="H66" s="332">
        <f>508064</f>
        <v>508064</v>
      </c>
      <c r="I66" s="332"/>
      <c r="J66" s="332"/>
      <c r="K66" s="332"/>
      <c r="L66" s="332">
        <f>122144-21-41654</f>
        <v>80469</v>
      </c>
      <c r="M66" s="332"/>
      <c r="N66" s="332">
        <v>0</v>
      </c>
      <c r="O66" s="332"/>
      <c r="P66" s="332">
        <f t="shared" si="3"/>
        <v>80469</v>
      </c>
      <c r="R66" s="332">
        <f t="shared" si="2"/>
        <v>588533</v>
      </c>
      <c r="T66" s="33">
        <v>20</v>
      </c>
      <c r="U66" s="102"/>
    </row>
    <row r="67" spans="1:21" x14ac:dyDescent="0.35">
      <c r="A67" s="89"/>
      <c r="B67" s="29">
        <v>3344</v>
      </c>
      <c r="D67" s="30" t="s">
        <v>455</v>
      </c>
      <c r="F67" s="332">
        <f>413232+3544</f>
        <v>416776</v>
      </c>
      <c r="G67" s="332"/>
      <c r="H67" s="332">
        <v>0</v>
      </c>
      <c r="I67" s="332"/>
      <c r="J67" s="332"/>
      <c r="K67" s="332"/>
      <c r="L67" s="332">
        <f>5.08+11.91+4.2</f>
        <v>21.19</v>
      </c>
      <c r="M67" s="332"/>
      <c r="N67" s="332">
        <v>41654</v>
      </c>
      <c r="O67" s="332"/>
      <c r="P67" s="332">
        <f t="shared" si="3"/>
        <v>41675.19</v>
      </c>
      <c r="R67" s="332">
        <f t="shared" si="2"/>
        <v>41675.19</v>
      </c>
      <c r="T67" s="33">
        <v>10</v>
      </c>
      <c r="U67" s="102"/>
    </row>
    <row r="68" spans="1:21" x14ac:dyDescent="0.35">
      <c r="A68" s="89"/>
      <c r="B68" s="29">
        <v>3345</v>
      </c>
      <c r="D68" s="30" t="s">
        <v>439</v>
      </c>
      <c r="F68" s="332">
        <v>957908</v>
      </c>
      <c r="G68" s="332"/>
      <c r="H68" s="332">
        <v>404011</v>
      </c>
      <c r="I68" s="332"/>
      <c r="J68" s="332"/>
      <c r="K68" s="332"/>
      <c r="L68" s="332">
        <v>23552</v>
      </c>
      <c r="M68" s="332"/>
      <c r="N68" s="332">
        <v>0</v>
      </c>
      <c r="O68" s="332"/>
      <c r="P68" s="332">
        <f t="shared" si="3"/>
        <v>23552</v>
      </c>
      <c r="R68" s="332">
        <f t="shared" si="2"/>
        <v>427563</v>
      </c>
      <c r="T68" s="33">
        <v>45</v>
      </c>
      <c r="U68" s="102"/>
    </row>
    <row r="69" spans="1:21" x14ac:dyDescent="0.35">
      <c r="A69" s="89"/>
      <c r="B69" s="29">
        <v>3354</v>
      </c>
      <c r="D69" s="30" t="s">
        <v>116</v>
      </c>
      <c r="F69" s="332">
        <v>720329</v>
      </c>
      <c r="G69" s="332"/>
      <c r="H69" s="332">
        <v>148898</v>
      </c>
      <c r="I69" s="332"/>
      <c r="J69" s="332"/>
      <c r="K69" s="332"/>
      <c r="L69" s="332">
        <v>13319</v>
      </c>
      <c r="M69" s="332"/>
      <c r="N69" s="332">
        <v>0</v>
      </c>
      <c r="O69" s="332"/>
      <c r="P69" s="332">
        <f t="shared" si="3"/>
        <v>13319</v>
      </c>
      <c r="R69" s="332">
        <f t="shared" si="2"/>
        <v>162217</v>
      </c>
      <c r="T69" s="33">
        <v>50</v>
      </c>
      <c r="U69" s="102"/>
    </row>
    <row r="70" spans="1:21" x14ac:dyDescent="0.35">
      <c r="A70" s="89"/>
      <c r="B70" s="29">
        <v>3392</v>
      </c>
      <c r="D70" s="30" t="s">
        <v>440</v>
      </c>
      <c r="F70" s="332">
        <v>179</v>
      </c>
      <c r="G70" s="332"/>
      <c r="H70" s="332">
        <v>121</v>
      </c>
      <c r="I70" s="332"/>
      <c r="J70" s="332"/>
      <c r="K70" s="332"/>
      <c r="L70" s="332">
        <v>1</v>
      </c>
      <c r="M70" s="332"/>
      <c r="N70" s="332">
        <v>0</v>
      </c>
      <c r="O70" s="332"/>
      <c r="P70" s="332">
        <f t="shared" si="3"/>
        <v>1</v>
      </c>
      <c r="R70" s="332">
        <f t="shared" si="2"/>
        <v>122</v>
      </c>
      <c r="T70" s="33">
        <v>50</v>
      </c>
      <c r="U70" s="102"/>
    </row>
    <row r="71" spans="1:21" x14ac:dyDescent="0.35">
      <c r="A71" s="89"/>
      <c r="B71" s="29">
        <v>3400</v>
      </c>
      <c r="D71" s="30" t="s">
        <v>441</v>
      </c>
      <c r="F71" s="332">
        <f>181905-85880</f>
        <v>96025</v>
      </c>
      <c r="G71" s="332"/>
      <c r="H71" s="332">
        <v>63843</v>
      </c>
      <c r="I71" s="332"/>
      <c r="J71" s="332"/>
      <c r="K71" s="332"/>
      <c r="L71" s="332">
        <f>16812-5726</f>
        <v>11086</v>
      </c>
      <c r="M71" s="332"/>
      <c r="N71" s="332">
        <v>0</v>
      </c>
      <c r="O71" s="332"/>
      <c r="P71" s="332">
        <f t="shared" si="3"/>
        <v>11086</v>
      </c>
      <c r="R71" s="332">
        <f t="shared" si="2"/>
        <v>74929</v>
      </c>
      <c r="T71" s="33">
        <v>5</v>
      </c>
      <c r="U71" s="102"/>
    </row>
    <row r="72" spans="1:21" x14ac:dyDescent="0.35">
      <c r="A72" s="89"/>
      <c r="B72" s="29">
        <v>3400</v>
      </c>
      <c r="D72" s="30" t="s">
        <v>442</v>
      </c>
      <c r="F72" s="332">
        <f>79055+4434+581+180+1630</f>
        <v>85880</v>
      </c>
      <c r="G72" s="332"/>
      <c r="H72" s="332">
        <v>59553</v>
      </c>
      <c r="I72" s="332"/>
      <c r="J72" s="332"/>
      <c r="K72" s="332"/>
      <c r="L72" s="332">
        <f>5270+296+39+12+109</f>
        <v>5726</v>
      </c>
      <c r="M72" s="332"/>
      <c r="N72" s="332">
        <v>0</v>
      </c>
      <c r="O72" s="332"/>
      <c r="P72" s="332">
        <f t="shared" si="3"/>
        <v>5726</v>
      </c>
      <c r="R72" s="332">
        <f t="shared" si="2"/>
        <v>65279</v>
      </c>
      <c r="T72" s="33">
        <v>15</v>
      </c>
      <c r="U72" s="102"/>
    </row>
    <row r="73" spans="1:21" x14ac:dyDescent="0.35">
      <c r="A73" s="89"/>
      <c r="B73" s="29">
        <v>3401</v>
      </c>
      <c r="D73" s="30" t="s">
        <v>443</v>
      </c>
      <c r="F73" s="332">
        <v>70118</v>
      </c>
      <c r="G73" s="332"/>
      <c r="H73" s="332">
        <v>61383</v>
      </c>
      <c r="I73" s="332"/>
      <c r="J73" s="332"/>
      <c r="K73" s="332"/>
      <c r="L73" s="332">
        <v>3783</v>
      </c>
      <c r="M73" s="332"/>
      <c r="N73" s="332">
        <v>0</v>
      </c>
      <c r="O73" s="332"/>
      <c r="P73" s="332">
        <f t="shared" si="3"/>
        <v>3783</v>
      </c>
      <c r="R73" s="332">
        <f t="shared" si="2"/>
        <v>65166</v>
      </c>
      <c r="T73" s="33">
        <v>5</v>
      </c>
      <c r="U73" s="102"/>
    </row>
    <row r="74" spans="1:21" x14ac:dyDescent="0.35">
      <c r="A74" s="89"/>
      <c r="B74" s="29">
        <v>3405</v>
      </c>
      <c r="D74" s="30" t="s">
        <v>117</v>
      </c>
      <c r="F74" s="332">
        <v>19313</v>
      </c>
      <c r="G74" s="332"/>
      <c r="H74" s="332">
        <v>15030</v>
      </c>
      <c r="I74" s="332"/>
      <c r="J74" s="332"/>
      <c r="K74" s="332"/>
      <c r="L74" s="332">
        <v>203</v>
      </c>
      <c r="M74" s="332"/>
      <c r="N74" s="332">
        <v>0</v>
      </c>
      <c r="O74" s="332"/>
      <c r="P74" s="332">
        <f t="shared" si="3"/>
        <v>203</v>
      </c>
      <c r="R74" s="332">
        <f t="shared" si="2"/>
        <v>15233</v>
      </c>
      <c r="T74" s="333">
        <v>22.5</v>
      </c>
      <c r="U74" s="102"/>
    </row>
    <row r="75" spans="1:21" x14ac:dyDescent="0.35">
      <c r="A75" s="89"/>
      <c r="B75" s="29">
        <v>3415</v>
      </c>
      <c r="D75" s="30" t="s">
        <v>119</v>
      </c>
      <c r="F75" s="332">
        <v>39805</v>
      </c>
      <c r="G75" s="332"/>
      <c r="H75" s="332">
        <v>42611</v>
      </c>
      <c r="I75" s="332"/>
      <c r="J75" s="332">
        <v>-42611</v>
      </c>
      <c r="K75" s="332"/>
      <c r="L75" s="332">
        <v>4265</v>
      </c>
      <c r="M75" s="332"/>
      <c r="N75" s="332">
        <v>0</v>
      </c>
      <c r="O75" s="332"/>
      <c r="P75" s="332">
        <f t="shared" si="3"/>
        <v>4265</v>
      </c>
      <c r="R75" s="332">
        <f>+H75+P75+J75</f>
        <v>4265</v>
      </c>
      <c r="T75" s="33">
        <v>7</v>
      </c>
      <c r="U75" s="102"/>
    </row>
    <row r="76" spans="1:21" x14ac:dyDescent="0.35">
      <c r="A76" s="89"/>
      <c r="B76" s="29">
        <v>3435</v>
      </c>
      <c r="D76" s="30" t="s">
        <v>444</v>
      </c>
      <c r="F76" s="332">
        <v>26271</v>
      </c>
      <c r="G76" s="332"/>
      <c r="H76" s="332">
        <v>14316</v>
      </c>
      <c r="I76" s="332"/>
      <c r="J76" s="332"/>
      <c r="K76" s="332"/>
      <c r="L76" s="332">
        <v>1292</v>
      </c>
      <c r="M76" s="332"/>
      <c r="N76" s="332">
        <v>0</v>
      </c>
      <c r="O76" s="332"/>
      <c r="P76" s="332">
        <f t="shared" si="3"/>
        <v>1292</v>
      </c>
      <c r="R76" s="332">
        <f t="shared" ref="R76:R77" si="4">+H76+P76+J76</f>
        <v>15608</v>
      </c>
      <c r="T76" s="333">
        <v>12.5</v>
      </c>
      <c r="U76" s="102"/>
    </row>
    <row r="77" spans="1:21" x14ac:dyDescent="0.35">
      <c r="A77" s="89"/>
      <c r="B77" s="29">
        <v>3465</v>
      </c>
      <c r="D77" s="30" t="s">
        <v>445</v>
      </c>
      <c r="F77" s="332">
        <v>25792</v>
      </c>
      <c r="G77" s="332"/>
      <c r="H77" s="332">
        <v>17202</v>
      </c>
      <c r="I77" s="332"/>
      <c r="J77" s="332"/>
      <c r="K77" s="332"/>
      <c r="L77" s="332">
        <v>1897</v>
      </c>
      <c r="M77" s="332"/>
      <c r="N77" s="332">
        <v>0</v>
      </c>
      <c r="O77" s="332"/>
      <c r="P77" s="332">
        <f t="shared" si="3"/>
        <v>1897</v>
      </c>
      <c r="R77" s="332">
        <f t="shared" si="4"/>
        <v>19099</v>
      </c>
      <c r="T77" s="33">
        <v>10</v>
      </c>
      <c r="U77" s="102"/>
    </row>
    <row r="78" spans="1:21" ht="13.9" thickBot="1" x14ac:dyDescent="0.4">
      <c r="A78" s="89"/>
      <c r="F78" s="39">
        <f>SUM(F56:F77)</f>
        <v>26066129</v>
      </c>
      <c r="H78" s="39">
        <f>SUM(H57:H77)</f>
        <v>8449162</v>
      </c>
      <c r="I78" s="334"/>
      <c r="J78" s="39">
        <f>SUM(J57:J77)</f>
        <v>-42611</v>
      </c>
      <c r="L78" s="39">
        <f>SUM(L57:L77)</f>
        <v>559200.18999999994</v>
      </c>
      <c r="N78" s="39">
        <f>SUM(N57:N77)</f>
        <v>41654</v>
      </c>
      <c r="P78" s="39">
        <f>SUM(P57:P77)</f>
        <v>600854.18999999994</v>
      </c>
      <c r="R78" s="39">
        <f>SUM(R57:R77)</f>
        <v>9007405.1900000013</v>
      </c>
      <c r="U78" s="102"/>
    </row>
    <row r="79" spans="1:21" ht="13.9" thickTop="1" x14ac:dyDescent="0.35">
      <c r="A79" s="90"/>
      <c r="B79" s="109"/>
      <c r="C79" s="87"/>
      <c r="D79" s="87"/>
      <c r="E79" s="87"/>
      <c r="F79" s="88"/>
      <c r="G79" s="87"/>
      <c r="H79" s="88"/>
      <c r="I79" s="88"/>
      <c r="J79" s="88"/>
      <c r="K79" s="87"/>
      <c r="L79" s="88"/>
      <c r="M79" s="87"/>
      <c r="N79" s="88"/>
      <c r="O79" s="87"/>
      <c r="P79" s="88"/>
      <c r="Q79" s="87"/>
      <c r="R79" s="88"/>
      <c r="S79" s="87"/>
      <c r="T79" s="37"/>
      <c r="U79" s="103"/>
    </row>
    <row r="82" spans="12:12" ht="13.9" x14ac:dyDescent="0.4">
      <c r="L82" s="338"/>
    </row>
    <row r="83" spans="12:12" ht="13.9" x14ac:dyDescent="0.4">
      <c r="L83" s="338"/>
    </row>
    <row r="84" spans="12:12" ht="13.9" x14ac:dyDescent="0.4">
      <c r="L84" s="338"/>
    </row>
  </sheetData>
  <mergeCells count="6">
    <mergeCell ref="B52:T52"/>
    <mergeCell ref="B1:T1"/>
    <mergeCell ref="B2:T2"/>
    <mergeCell ref="B3:T3"/>
    <mergeCell ref="B50:T50"/>
    <mergeCell ref="B51:T5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J25"/>
  <sheetViews>
    <sheetView showGridLines="0" workbookViewId="0">
      <selection activeCell="C6" sqref="C6:H6"/>
    </sheetView>
  </sheetViews>
  <sheetFormatPr defaultColWidth="8.88671875" defaultRowHeight="13.5" x14ac:dyDescent="0.35"/>
  <cols>
    <col min="1" max="1" width="8.88671875" style="41"/>
    <col min="2" max="2" width="1.6640625" style="41" customWidth="1"/>
    <col min="3" max="3" width="12.5546875" style="41" customWidth="1"/>
    <col min="4" max="4" width="14.77734375" style="41" customWidth="1"/>
    <col min="5" max="5" width="1.77734375" style="41" customWidth="1"/>
    <col min="6" max="6" width="14.77734375" style="41" customWidth="1"/>
    <col min="7" max="7" width="0.77734375" style="41" customWidth="1"/>
    <col min="8" max="8" width="14.77734375" style="41" customWidth="1"/>
    <col min="9" max="9" width="1.77734375" style="41" customWidth="1"/>
    <col min="10" max="11" width="8.88671875" style="41"/>
    <col min="12" max="12" width="9" style="41" bestFit="1" customWidth="1"/>
    <col min="13" max="16384" width="8.88671875" style="41"/>
  </cols>
  <sheetData>
    <row r="1" spans="2:10" ht="15" x14ac:dyDescent="0.4">
      <c r="B1" s="40"/>
    </row>
    <row r="2" spans="2:10" ht="15" x14ac:dyDescent="0.4">
      <c r="B2" s="63"/>
      <c r="C2" s="42"/>
      <c r="D2" s="42"/>
      <c r="E2" s="42"/>
      <c r="F2" s="42"/>
      <c r="G2" s="42"/>
      <c r="H2" s="42"/>
      <c r="I2" s="43"/>
    </row>
    <row r="3" spans="2:10" ht="17.649999999999999" x14ac:dyDescent="0.5">
      <c r="B3" s="64"/>
      <c r="C3" s="473" t="s">
        <v>143</v>
      </c>
      <c r="D3" s="473"/>
      <c r="E3" s="473"/>
      <c r="F3" s="473"/>
      <c r="G3" s="473"/>
      <c r="H3" s="473"/>
      <c r="I3" s="474"/>
    </row>
    <row r="4" spans="2:10" ht="17.649999999999999" x14ac:dyDescent="0.5">
      <c r="B4" s="64"/>
      <c r="C4" s="475" t="s">
        <v>26</v>
      </c>
      <c r="D4" s="475"/>
      <c r="E4" s="475"/>
      <c r="F4" s="475"/>
      <c r="G4" s="475"/>
      <c r="H4" s="475"/>
      <c r="I4" s="44"/>
    </row>
    <row r="5" spans="2:10" ht="17.649999999999999" x14ac:dyDescent="0.4">
      <c r="B5" s="64"/>
      <c r="C5" s="476" t="s">
        <v>478</v>
      </c>
      <c r="D5" s="476"/>
      <c r="E5" s="476"/>
      <c r="F5" s="476"/>
      <c r="G5" s="476"/>
      <c r="H5" s="476"/>
      <c r="I5" s="44"/>
      <c r="J5" s="45"/>
    </row>
    <row r="6" spans="2:10" ht="15" x14ac:dyDescent="0.4">
      <c r="B6" s="64"/>
      <c r="C6" s="477" t="s">
        <v>132</v>
      </c>
      <c r="D6" s="477"/>
      <c r="E6" s="477"/>
      <c r="F6" s="477"/>
      <c r="G6" s="477"/>
      <c r="H6" s="477"/>
      <c r="I6" s="44"/>
    </row>
    <row r="7" spans="2:10" ht="15" x14ac:dyDescent="0.4">
      <c r="B7" s="64"/>
      <c r="C7" s="46"/>
      <c r="D7" s="46"/>
      <c r="E7" s="46"/>
      <c r="F7" s="47"/>
      <c r="G7" s="47"/>
      <c r="H7" s="47"/>
      <c r="I7" s="44"/>
    </row>
    <row r="8" spans="2:10" ht="15" x14ac:dyDescent="0.4">
      <c r="B8" s="64"/>
      <c r="C8" s="48"/>
      <c r="D8" s="48"/>
      <c r="E8" s="48"/>
      <c r="F8" s="47"/>
      <c r="G8" s="47"/>
      <c r="H8" s="47"/>
      <c r="I8" s="44"/>
    </row>
    <row r="9" spans="2:10" ht="15.75" customHeight="1" x14ac:dyDescent="0.4">
      <c r="B9" s="64"/>
      <c r="C9" s="47"/>
      <c r="D9" s="472" t="s">
        <v>248</v>
      </c>
      <c r="E9" s="472"/>
      <c r="F9" s="472"/>
      <c r="G9" s="472"/>
      <c r="H9" s="472"/>
      <c r="I9" s="44"/>
    </row>
    <row r="10" spans="2:10" ht="15.75" customHeight="1" x14ac:dyDescent="0.4">
      <c r="B10" s="64"/>
      <c r="C10" s="55" t="s">
        <v>53</v>
      </c>
      <c r="D10" s="92" t="s">
        <v>269</v>
      </c>
      <c r="E10" s="47"/>
      <c r="F10" s="112" t="s">
        <v>249</v>
      </c>
      <c r="G10" s="47"/>
      <c r="H10" s="112" t="s">
        <v>29</v>
      </c>
      <c r="I10" s="44"/>
    </row>
    <row r="11" spans="2:10" ht="15" x14ac:dyDescent="0.4">
      <c r="B11" s="64"/>
      <c r="C11" s="49">
        <v>2024</v>
      </c>
      <c r="D11" s="117">
        <f>'Debt Amort'!E14</f>
        <v>54442.19</v>
      </c>
      <c r="E11" s="117"/>
      <c r="F11" s="117">
        <f>'Debt Amort'!I14</f>
        <v>122964.26999999999</v>
      </c>
      <c r="G11" s="47"/>
      <c r="H11" s="117">
        <f>SUM(D11,F11)</f>
        <v>177406.46</v>
      </c>
      <c r="I11" s="44"/>
    </row>
    <row r="12" spans="2:10" ht="15" x14ac:dyDescent="0.4">
      <c r="B12" s="64"/>
      <c r="C12" s="49">
        <v>2025</v>
      </c>
      <c r="D12" s="50">
        <f>'Debt Amort'!E15</f>
        <v>54440.63</v>
      </c>
      <c r="E12" s="117"/>
      <c r="F12" s="50">
        <f>'Debt Amort'!I15</f>
        <v>151793.75</v>
      </c>
      <c r="G12" s="47"/>
      <c r="H12" s="50">
        <f t="shared" ref="H12:H15" si="0">SUM(D12,F12)</f>
        <v>206234.38</v>
      </c>
      <c r="I12" s="44"/>
    </row>
    <row r="13" spans="2:10" ht="15" x14ac:dyDescent="0.4">
      <c r="B13" s="64"/>
      <c r="C13" s="49">
        <v>2026</v>
      </c>
      <c r="D13" s="50">
        <f>'Debt Amort'!E16</f>
        <v>54429.69</v>
      </c>
      <c r="E13" s="117"/>
      <c r="F13" s="50">
        <f>'Debt Amort'!I16</f>
        <v>152225</v>
      </c>
      <c r="G13" s="47"/>
      <c r="H13" s="50">
        <f t="shared" si="0"/>
        <v>206654.69</v>
      </c>
      <c r="I13" s="44"/>
    </row>
    <row r="14" spans="2:10" ht="15" x14ac:dyDescent="0.4">
      <c r="B14" s="64"/>
      <c r="C14" s="49">
        <v>2027</v>
      </c>
      <c r="D14" s="50">
        <f>'Debt Amort'!E17</f>
        <v>54409.380000000005</v>
      </c>
      <c r="E14" s="117"/>
      <c r="F14" s="50">
        <f>'Debt Amort'!I17</f>
        <v>147550</v>
      </c>
      <c r="G14" s="47"/>
      <c r="H14" s="50">
        <f t="shared" si="0"/>
        <v>201959.38</v>
      </c>
      <c r="I14" s="44"/>
    </row>
    <row r="15" spans="2:10" ht="15" x14ac:dyDescent="0.4">
      <c r="B15" s="64"/>
      <c r="C15" s="49">
        <v>2028</v>
      </c>
      <c r="D15" s="56">
        <f>'Debt Amort'!E18</f>
        <v>54379.69</v>
      </c>
      <c r="E15" s="117"/>
      <c r="F15" s="56">
        <f>'Debt Amort'!I18</f>
        <v>147768.75</v>
      </c>
      <c r="G15" s="47"/>
      <c r="H15" s="56">
        <f t="shared" si="0"/>
        <v>202148.44</v>
      </c>
      <c r="I15" s="44"/>
    </row>
    <row r="16" spans="2:10" ht="15" x14ac:dyDescent="0.4">
      <c r="B16" s="64"/>
      <c r="C16" s="50"/>
      <c r="D16" s="50"/>
      <c r="E16" s="50"/>
      <c r="F16" s="47"/>
      <c r="G16" s="47"/>
      <c r="H16" s="47"/>
      <c r="I16" s="44"/>
    </row>
    <row r="17" spans="2:9" ht="15.4" thickBot="1" x14ac:dyDescent="0.45">
      <c r="B17" s="64"/>
      <c r="C17" s="52" t="s">
        <v>0</v>
      </c>
      <c r="D17" s="105">
        <f>SUM(D11:D16)</f>
        <v>272101.58</v>
      </c>
      <c r="E17" s="52"/>
      <c r="F17" s="106">
        <f>SUM(F11:F16)</f>
        <v>722301.77</v>
      </c>
      <c r="G17" s="47"/>
      <c r="H17" s="106">
        <f t="shared" ref="H17" si="1">SUM(H11:H16)</f>
        <v>994403.35000000009</v>
      </c>
      <c r="I17" s="44"/>
    </row>
    <row r="18" spans="2:9" ht="15.4" thickTop="1" x14ac:dyDescent="0.4">
      <c r="B18" s="64"/>
      <c r="C18" s="51"/>
      <c r="D18" s="51"/>
      <c r="E18" s="51"/>
      <c r="F18" s="47"/>
      <c r="G18" s="47"/>
      <c r="H18" s="47"/>
      <c r="I18" s="44"/>
    </row>
    <row r="19" spans="2:9" ht="15.4" thickBot="1" x14ac:dyDescent="0.45">
      <c r="B19" s="64"/>
      <c r="C19" s="48" t="s">
        <v>122</v>
      </c>
      <c r="D19" s="106">
        <f>ROUND(AVERAGE(D11:D15),0)</f>
        <v>54420</v>
      </c>
      <c r="E19" s="51"/>
      <c r="F19" s="106">
        <f>ROUND(AVERAGE(F11:F15),0)</f>
        <v>144460</v>
      </c>
      <c r="G19" s="47"/>
      <c r="H19" s="106">
        <f t="shared" ref="H19" si="2">ROUND(AVERAGE(H11:H15),0)</f>
        <v>198881</v>
      </c>
      <c r="I19" s="44"/>
    </row>
    <row r="20" spans="2:9" ht="15.4" thickTop="1" x14ac:dyDescent="0.4">
      <c r="B20" s="65"/>
      <c r="C20" s="54"/>
      <c r="D20" s="54"/>
      <c r="E20" s="54"/>
      <c r="F20" s="54"/>
      <c r="G20" s="54"/>
      <c r="H20" s="54"/>
      <c r="I20" s="66"/>
    </row>
    <row r="21" spans="2:9" ht="15" x14ac:dyDescent="0.4">
      <c r="B21" s="65"/>
      <c r="C21" s="47"/>
      <c r="D21" s="47"/>
      <c r="E21" s="47"/>
      <c r="G21" s="47"/>
    </row>
    <row r="22" spans="2:9" ht="15" x14ac:dyDescent="0.4">
      <c r="B22" s="40"/>
      <c r="C22" s="47"/>
      <c r="D22" s="47"/>
      <c r="E22" s="47"/>
      <c r="G22" s="47"/>
    </row>
    <row r="23" spans="2:9" ht="15" x14ac:dyDescent="0.4">
      <c r="B23" s="40"/>
      <c r="C23" s="52"/>
      <c r="D23" s="52"/>
      <c r="E23" s="52"/>
      <c r="G23" s="47"/>
    </row>
    <row r="24" spans="2:9" ht="15" x14ac:dyDescent="0.4">
      <c r="B24" s="40"/>
      <c r="C24" s="53"/>
      <c r="D24" s="53"/>
      <c r="E24" s="53"/>
    </row>
    <row r="25" spans="2:9" ht="15" x14ac:dyDescent="0.4">
      <c r="B25" s="40"/>
    </row>
  </sheetData>
  <mergeCells count="5">
    <mergeCell ref="D9:H9"/>
    <mergeCell ref="C3:I3"/>
    <mergeCell ref="C4:H4"/>
    <mergeCell ref="C5:H5"/>
    <mergeCell ref="C6:H6"/>
  </mergeCells>
  <printOptions horizontalCentered="1"/>
  <pageMargins left="0.6" right="0.5" top="1.5" bottom="0.75" header="0.3" footer="0.3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3</vt:i4>
      </vt:variant>
    </vt:vector>
  </HeadingPairs>
  <TitlesOfParts>
    <vt:vector size="29" baseType="lpstr">
      <vt:lpstr>SAO - DSC</vt:lpstr>
      <vt:lpstr>Emp Sal &amp; Wages</vt:lpstr>
      <vt:lpstr>Emp Pension &amp; Benefits</vt:lpstr>
      <vt:lpstr>Emp Health &amp; Dentail Prem</vt:lpstr>
      <vt:lpstr>FICA</vt:lpstr>
      <vt:lpstr>WatPurch</vt:lpstr>
      <vt:lpstr>Dep Adj</vt:lpstr>
      <vt:lpstr>Dep Sch </vt:lpstr>
      <vt:lpstr>Debt Sch</vt:lpstr>
      <vt:lpstr>Debt Amort</vt:lpstr>
      <vt:lpstr>CurRates</vt:lpstr>
      <vt:lpstr>Ex-BA</vt:lpstr>
      <vt:lpstr>Rates Comp</vt:lpstr>
      <vt:lpstr>Prop_BA</vt:lpstr>
      <vt:lpstr>Table A</vt:lpstr>
      <vt:lpstr>Tble B</vt:lpstr>
      <vt:lpstr>Table C</vt:lpstr>
      <vt:lpstr>Table D</vt:lpstr>
      <vt:lpstr>5-8-Inch</vt:lpstr>
      <vt:lpstr>1-Inch</vt:lpstr>
      <vt:lpstr>1.5-Inch</vt:lpstr>
      <vt:lpstr>2-Inch</vt:lpstr>
      <vt:lpstr>3-Inch</vt:lpstr>
      <vt:lpstr>4-Inch</vt:lpstr>
      <vt:lpstr>6-Inch</vt:lpstr>
      <vt:lpstr>8-Inch</vt:lpstr>
      <vt:lpstr>CurRates!Print_Area</vt:lpstr>
      <vt:lpstr>'Debt Sch'!Print_Area</vt:lpstr>
      <vt:lpstr>'SAO - DSC'!Print_Area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Robert Miller</cp:lastModifiedBy>
  <cp:lastPrinted>2024-02-15T12:37:33Z</cp:lastPrinted>
  <dcterms:created xsi:type="dcterms:W3CDTF">2016-05-18T14:12:06Z</dcterms:created>
  <dcterms:modified xsi:type="dcterms:W3CDTF">2024-05-07T19:25:32Z</dcterms:modified>
</cp:coreProperties>
</file>