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18595\Desktop\KRWA\Levee Road WA\Application\"/>
    </mc:Choice>
  </mc:AlternateContent>
  <xr:revisionPtr revIDLastSave="0" documentId="13_ncr:1_{4643A41B-8718-4FC0-BFBC-13BEA3D60800}" xr6:coauthVersionLast="47" xr6:coauthVersionMax="47" xr10:uidLastSave="{00000000-0000-0000-0000-000000000000}"/>
  <bookViews>
    <workbookView xWindow="-110" yWindow="-110" windowWidth="19420" windowHeight="10300" tabRatio="641" xr2:uid="{00000000-000D-0000-FFFF-FFFF00000000}"/>
  </bookViews>
  <sheets>
    <sheet name="SAO" sheetId="6" r:id="rId1"/>
    <sheet name="References" sheetId="58" r:id="rId2"/>
    <sheet name="Wages" sheetId="55" r:id="rId3"/>
    <sheet name="Depreciation" sheetId="51" r:id="rId4"/>
    <sheet name="Debt Service" sheetId="50" r:id="rId5"/>
    <sheet name="Capital" sheetId="56" r:id="rId6"/>
    <sheet name="Water Loss" sheetId="54" r:id="rId7"/>
    <sheet name="Rates" sheetId="2" r:id="rId8"/>
    <sheet name="Bills" sheetId="42" r:id="rId9"/>
    <sheet name="ExBA" sheetId="52" r:id="rId10"/>
    <sheet name="PrBA" sheetId="53" r:id="rId11"/>
  </sheets>
  <definedNames>
    <definedName name="AHV">#REF!</definedName>
    <definedName name="_xlnm.Print_Area" localSheetId="8">Bills!$B$2:$I$28</definedName>
    <definedName name="_xlnm.Print_Area" localSheetId="4">'Debt Service'!$A$1:$O$23</definedName>
    <definedName name="_xlnm.Print_Area" localSheetId="3">Depreciation!$A$1:$L$47</definedName>
    <definedName name="_xlnm.Print_Area" localSheetId="10">PrBA!$A$1:$L$35</definedName>
    <definedName name="_xlnm.Print_Area" localSheetId="7">Rates!$B$2:$J$18</definedName>
    <definedName name="_xlnm.Print_Area" localSheetId="0">SAO!$A$2:$G$60</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42" l="1"/>
  <c r="E24" i="42"/>
  <c r="E23" i="42"/>
  <c r="E22" i="42"/>
  <c r="E21" i="42"/>
  <c r="E20" i="42"/>
  <c r="E19" i="42"/>
  <c r="E18" i="42"/>
  <c r="E17" i="42"/>
  <c r="E16" i="42"/>
  <c r="E15" i="42"/>
  <c r="E14" i="42"/>
  <c r="E13" i="42"/>
  <c r="E12" i="42"/>
  <c r="F7" i="52"/>
  <c r="M13" i="50"/>
  <c r="M12" i="50"/>
  <c r="G30" i="6" l="1"/>
  <c r="E30" i="6"/>
  <c r="E36" i="6"/>
  <c r="E29" i="6"/>
  <c r="B31" i="54" l="1"/>
  <c r="E27" i="6"/>
  <c r="D102" i="6"/>
  <c r="G85" i="6"/>
  <c r="F27" i="52"/>
  <c r="F26" i="52"/>
  <c r="F25" i="52"/>
  <c r="G21" i="6"/>
  <c r="J7" i="54" l="1"/>
  <c r="K8" i="54" s="1"/>
  <c r="E26" i="6" s="1"/>
  <c r="H6" i="54"/>
  <c r="B27" i="53"/>
  <c r="B26" i="53"/>
  <c r="B25" i="53"/>
  <c r="B24" i="53"/>
  <c r="D20" i="53"/>
  <c r="C20" i="53"/>
  <c r="C24" i="53" s="1"/>
  <c r="D19" i="53"/>
  <c r="C19" i="53"/>
  <c r="G19" i="53" s="1"/>
  <c r="D18" i="53"/>
  <c r="C18" i="53"/>
  <c r="F18" i="53" s="1"/>
  <c r="E17" i="53"/>
  <c r="F17" i="53" s="1"/>
  <c r="D17" i="53"/>
  <c r="C17" i="53"/>
  <c r="E16" i="53"/>
  <c r="I16" i="53" s="1"/>
  <c r="D16" i="53"/>
  <c r="C16" i="53"/>
  <c r="H15" i="53"/>
  <c r="G15" i="53"/>
  <c r="F15" i="53"/>
  <c r="E15" i="53"/>
  <c r="D6" i="53"/>
  <c r="A2" i="53"/>
  <c r="H21" i="55"/>
  <c r="F20" i="53" l="1"/>
  <c r="D25" i="53" s="1"/>
  <c r="C28" i="53"/>
  <c r="I17" i="53"/>
  <c r="E19" i="53"/>
  <c r="F19" i="53"/>
  <c r="E18" i="53"/>
  <c r="I18" i="53" l="1"/>
  <c r="G18" i="53"/>
  <c r="G20" i="53" s="1"/>
  <c r="D26" i="53" s="1"/>
  <c r="H19" i="53"/>
  <c r="H20" i="53" s="1"/>
  <c r="D27" i="53" s="1"/>
  <c r="E20" i="53"/>
  <c r="D24" i="53" s="1"/>
  <c r="D28" i="53" l="1"/>
  <c r="I20" i="53"/>
  <c r="E6" i="53" s="1"/>
  <c r="I19" i="53"/>
  <c r="H10" i="51" l="1"/>
  <c r="G32" i="6"/>
  <c r="G35" i="6"/>
  <c r="G34" i="6"/>
  <c r="E37" i="6"/>
  <c r="G37" i="6" s="1"/>
  <c r="E40" i="6"/>
  <c r="D19" i="52" l="1"/>
  <c r="D17" i="52"/>
  <c r="D18" i="52"/>
  <c r="D16" i="52"/>
  <c r="C19" i="52"/>
  <c r="C18" i="52"/>
  <c r="C17" i="52"/>
  <c r="C16" i="52"/>
  <c r="G40" i="6"/>
  <c r="G71" i="6"/>
  <c r="C3" i="56" l="1"/>
  <c r="D38" i="6"/>
  <c r="D43" i="6" s="1"/>
  <c r="D14" i="6"/>
  <c r="E11" i="42"/>
  <c r="F10" i="52"/>
  <c r="A2" i="52"/>
  <c r="B5" i="42"/>
  <c r="B5" i="2"/>
  <c r="C5" i="51"/>
  <c r="G22" i="6"/>
  <c r="D39" i="55"/>
  <c r="C39" i="55"/>
  <c r="E39" i="55" l="1"/>
  <c r="H31" i="55"/>
  <c r="J6" i="54" l="1"/>
  <c r="E26" i="52" l="1"/>
  <c r="B27" i="52"/>
  <c r="B26" i="52"/>
  <c r="B25" i="52"/>
  <c r="B24" i="52"/>
  <c r="G19" i="52"/>
  <c r="F19" i="52"/>
  <c r="E19" i="52"/>
  <c r="F18" i="52"/>
  <c r="E18" i="52"/>
  <c r="E17" i="52"/>
  <c r="G15" i="52"/>
  <c r="H19" i="52" l="1"/>
  <c r="G18" i="52"/>
  <c r="G20" i="52" s="1"/>
  <c r="D26" i="52" s="1"/>
  <c r="I18" i="52" l="1"/>
  <c r="E24" i="52"/>
  <c r="L16" i="50"/>
  <c r="D16" i="50"/>
  <c r="K16" i="50"/>
  <c r="I16" i="50"/>
  <c r="H16" i="50"/>
  <c r="G16" i="50"/>
  <c r="F16" i="50"/>
  <c r="E16" i="50"/>
  <c r="C16" i="50"/>
  <c r="F51" i="51"/>
  <c r="J27" i="51"/>
  <c r="H25" i="55"/>
  <c r="B30" i="54"/>
  <c r="A31" i="54"/>
  <c r="A30" i="54"/>
  <c r="J16" i="50" l="1"/>
  <c r="M24" i="50" s="1"/>
  <c r="G51" i="6" s="1"/>
  <c r="F44" i="51"/>
  <c r="J19" i="51"/>
  <c r="J18" i="51"/>
  <c r="J42" i="51"/>
  <c r="J23" i="51"/>
  <c r="K23" i="51" s="1"/>
  <c r="K19" i="51" l="1"/>
  <c r="K18" i="51"/>
  <c r="K42" i="51"/>
  <c r="C6" i="56"/>
  <c r="C5" i="56"/>
  <c r="C21" i="54"/>
  <c r="C13" i="54"/>
  <c r="C4" i="54"/>
  <c r="E27" i="52"/>
  <c r="E25" i="52"/>
  <c r="D20" i="52"/>
  <c r="E16" i="52"/>
  <c r="E20" i="52" s="1"/>
  <c r="C20" i="52"/>
  <c r="H15" i="52"/>
  <c r="F15" i="52"/>
  <c r="E15" i="52"/>
  <c r="D6" i="52" l="1"/>
  <c r="C24" i="52"/>
  <c r="F24" i="52" s="1"/>
  <c r="G24" i="6"/>
  <c r="C22" i="54"/>
  <c r="D25" i="54"/>
  <c r="D27" i="54" s="1"/>
  <c r="H6" i="55"/>
  <c r="I16" i="52"/>
  <c r="F17" i="52"/>
  <c r="C28" i="52" l="1"/>
  <c r="C31" i="54"/>
  <c r="D31" i="54" s="1"/>
  <c r="E28" i="6" s="1"/>
  <c r="G28" i="6" s="1"/>
  <c r="C30" i="54"/>
  <c r="D30" i="54" s="1"/>
  <c r="H8" i="55"/>
  <c r="F20" i="52"/>
  <c r="D25" i="52" s="1"/>
  <c r="H20" i="52"/>
  <c r="D27" i="52" s="1"/>
  <c r="I17" i="52"/>
  <c r="D24" i="52"/>
  <c r="E25" i="6" l="1"/>
  <c r="G26" i="6" s="1"/>
  <c r="D33" i="54"/>
  <c r="E21" i="2" s="1"/>
  <c r="H10" i="55"/>
  <c r="H28" i="55" s="1"/>
  <c r="D28" i="52"/>
  <c r="I19" i="52"/>
  <c r="I20" i="52" s="1"/>
  <c r="E6" i="52" s="1"/>
  <c r="F28" i="52"/>
  <c r="H44" i="51"/>
  <c r="J41" i="51"/>
  <c r="K41" i="51" s="1"/>
  <c r="J38" i="51"/>
  <c r="K38" i="51" s="1"/>
  <c r="J35" i="51"/>
  <c r="K35" i="51" s="1"/>
  <c r="J34" i="51"/>
  <c r="K34" i="51" s="1"/>
  <c r="J33" i="51"/>
  <c r="K33" i="51" s="1"/>
  <c r="K32" i="51"/>
  <c r="J31" i="51"/>
  <c r="K31" i="51" s="1"/>
  <c r="J30" i="51"/>
  <c r="K30" i="51" s="1"/>
  <c r="J29" i="51"/>
  <c r="K29" i="51" s="1"/>
  <c r="J28" i="51"/>
  <c r="K28" i="51" s="1"/>
  <c r="K27" i="51"/>
  <c r="J24" i="51"/>
  <c r="K24" i="51" s="1"/>
  <c r="J22" i="51"/>
  <c r="K22" i="51" s="1"/>
  <c r="J15" i="51"/>
  <c r="K15" i="51" s="1"/>
  <c r="J14" i="51"/>
  <c r="K14" i="51" s="1"/>
  <c r="J13" i="51"/>
  <c r="K13" i="51" s="1"/>
  <c r="J12" i="51"/>
  <c r="K12" i="51" s="1"/>
  <c r="J11" i="51"/>
  <c r="K11" i="51" s="1"/>
  <c r="J10" i="51"/>
  <c r="K10" i="51" s="1"/>
  <c r="M14" i="50"/>
  <c r="H21" i="2" l="1"/>
  <c r="H24" i="55"/>
  <c r="H26" i="55" s="1"/>
  <c r="H30" i="55"/>
  <c r="H32" i="55" s="1"/>
  <c r="E42" i="6" s="1"/>
  <c r="M16" i="50"/>
  <c r="M19" i="50" s="1"/>
  <c r="G66" i="6" s="1"/>
  <c r="F6" i="52"/>
  <c r="F9" i="52" s="1"/>
  <c r="K44" i="51"/>
  <c r="E41" i="6" s="1"/>
  <c r="J44" i="51"/>
  <c r="F50" i="51" s="1"/>
  <c r="F52" i="51" s="1"/>
  <c r="P16" i="50"/>
  <c r="E18" i="6" l="1"/>
  <c r="G19" i="6" s="1"/>
  <c r="G41" i="6"/>
  <c r="F11" i="52"/>
  <c r="E7" i="6" s="1"/>
  <c r="M21" i="50"/>
  <c r="G67" i="6" s="1"/>
  <c r="E10" i="42"/>
  <c r="G8" i="6" l="1"/>
  <c r="P21" i="50"/>
  <c r="G42" i="6"/>
  <c r="G31" i="6"/>
  <c r="G57" i="6" l="1"/>
  <c r="G73" i="6"/>
  <c r="G33" i="6"/>
  <c r="G38" i="6" s="1"/>
  <c r="G13" i="6" l="1"/>
  <c r="F14" i="2" l="1"/>
  <c r="F11" i="2"/>
  <c r="G11" i="6" l="1"/>
  <c r="G69" i="6" s="1"/>
  <c r="G53" i="6" l="1"/>
  <c r="G43" i="6" l="1"/>
  <c r="G65" i="6" s="1"/>
  <c r="G14" i="6"/>
  <c r="D45" i="6"/>
  <c r="G49" i="6" l="1"/>
  <c r="G45" i="6"/>
  <c r="G50" i="6" l="1"/>
  <c r="G52" i="6" s="1"/>
  <c r="G56" i="6" s="1"/>
  <c r="F10" i="53" s="1"/>
  <c r="G58" i="6" l="1"/>
  <c r="G68" i="6" l="1"/>
  <c r="G72" i="6" s="1"/>
  <c r="G74" i="6" s="1"/>
  <c r="G76" i="6" s="1"/>
  <c r="G60" i="6"/>
  <c r="E17" i="2" l="1"/>
  <c r="H17" i="2" s="1"/>
  <c r="I17" i="2" s="1"/>
  <c r="E16" i="2"/>
  <c r="H16" i="2" s="1"/>
  <c r="I16" i="2" s="1"/>
  <c r="E19" i="2"/>
  <c r="E14" i="2"/>
  <c r="E27" i="53" s="1"/>
  <c r="F27" i="53" s="1"/>
  <c r="E13" i="2"/>
  <c r="E26" i="53" s="1"/>
  <c r="F26" i="53" s="1"/>
  <c r="E12" i="2"/>
  <c r="E25" i="53" s="1"/>
  <c r="F25" i="53" s="1"/>
  <c r="E11" i="2"/>
  <c r="I74" i="6"/>
  <c r="E24" i="53" l="1"/>
  <c r="F24" i="53" s="1"/>
  <c r="F25" i="42"/>
  <c r="F17" i="42"/>
  <c r="F23" i="42"/>
  <c r="F15" i="42"/>
  <c r="F22" i="42"/>
  <c r="F21" i="42"/>
  <c r="F12" i="42"/>
  <c r="F19" i="42"/>
  <c r="F24" i="42"/>
  <c r="F16" i="42"/>
  <c r="F14" i="42"/>
  <c r="F13" i="42"/>
  <c r="F20" i="42"/>
  <c r="F18" i="42"/>
  <c r="H19" i="2"/>
  <c r="I19" i="2" s="1"/>
  <c r="F7" i="53"/>
  <c r="F28" i="53"/>
  <c r="F6" i="53" s="1"/>
  <c r="H13" i="2"/>
  <c r="I13" i="2" s="1"/>
  <c r="F11" i="42"/>
  <c r="H11" i="2"/>
  <c r="I11" i="2" s="1"/>
  <c r="F10" i="42"/>
  <c r="H12" i="2"/>
  <c r="I12" i="2" s="1"/>
  <c r="H14" i="2"/>
  <c r="I14" i="2" s="1"/>
  <c r="F9" i="53" l="1"/>
  <c r="F11" i="53" s="1"/>
  <c r="G12" i="42"/>
  <c r="H12" i="42" s="1"/>
  <c r="G23" i="42"/>
  <c r="H23" i="42" s="1"/>
  <c r="G13" i="42"/>
  <c r="H13" i="42" s="1"/>
  <c r="G24" i="42"/>
  <c r="H24" i="42" s="1"/>
  <c r="G20" i="42"/>
  <c r="H20" i="42" s="1"/>
  <c r="G17" i="42"/>
  <c r="H17" i="42" s="1"/>
  <c r="G14" i="42"/>
  <c r="H14" i="42" s="1"/>
  <c r="G25" i="42"/>
  <c r="H25" i="42" s="1"/>
  <c r="G21" i="42"/>
  <c r="H21" i="42" s="1"/>
  <c r="G15" i="42"/>
  <c r="H15" i="42" s="1"/>
  <c r="G10" i="42"/>
  <c r="H10" i="42" s="1"/>
  <c r="G18" i="42"/>
  <c r="H18" i="42" s="1"/>
  <c r="G22" i="42"/>
  <c r="H22" i="42" s="1"/>
  <c r="G16" i="42"/>
  <c r="H16" i="42" s="1"/>
  <c r="G19" i="42"/>
  <c r="H19" i="42" s="1"/>
  <c r="G11" i="42"/>
  <c r="H11" i="42" s="1"/>
</calcChain>
</file>

<file path=xl/sharedStrings.xml><?xml version="1.0" encoding="utf-8"?>
<sst xmlns="http://schemas.openxmlformats.org/spreadsheetml/2006/main" count="495" uniqueCount="352">
  <si>
    <t>Total Operating Expenses</t>
  </si>
  <si>
    <t>Taxes Other Than Income</t>
  </si>
  <si>
    <t>Salaries and Wages - Employees</t>
  </si>
  <si>
    <t>Salaries and Wages - Officers</t>
  </si>
  <si>
    <t>Employee Pensions and Benefits</t>
  </si>
  <si>
    <t>Purchased Water</t>
  </si>
  <si>
    <t>Purchased Power</t>
  </si>
  <si>
    <t>Materials and Supplies</t>
  </si>
  <si>
    <t>Miscellaneous Expenses</t>
  </si>
  <si>
    <t>Proposed</t>
  </si>
  <si>
    <t>Interest Income</t>
  </si>
  <si>
    <t>Total</t>
  </si>
  <si>
    <t>Gallons</t>
  </si>
  <si>
    <t>Operating Revenues</t>
  </si>
  <si>
    <t>Sales for Resale</t>
  </si>
  <si>
    <t>Other Water Revenues:</t>
  </si>
  <si>
    <t>Total Operating Revenues</t>
  </si>
  <si>
    <t>Operating Expenses</t>
  </si>
  <si>
    <t>Depreciation Expense</t>
  </si>
  <si>
    <t>REVENUE REQUIREMENTS</t>
  </si>
  <si>
    <t>Plus:</t>
  </si>
  <si>
    <t>Less:</t>
  </si>
  <si>
    <t>Other Operating Revenue</t>
  </si>
  <si>
    <t>Existing</t>
  </si>
  <si>
    <t>Change</t>
  </si>
  <si>
    <t>SCHEDULE OF ADJUSTED OPERATIONS</t>
  </si>
  <si>
    <t>Test Year</t>
  </si>
  <si>
    <t>Adjustments</t>
  </si>
  <si>
    <t>Ref.</t>
  </si>
  <si>
    <t>Proforma</t>
  </si>
  <si>
    <t>Operation and Maintenance</t>
  </si>
  <si>
    <t>Total Utility Operating Income</t>
  </si>
  <si>
    <t>Pro Forma Operating Expenses</t>
  </si>
  <si>
    <t>Adjustment</t>
  </si>
  <si>
    <t>Forfeited Discounts</t>
  </si>
  <si>
    <t>Total Metered Retail Sales</t>
  </si>
  <si>
    <t>DEPRECIATION EXPENSE ADJUSTMENTS</t>
  </si>
  <si>
    <t>Depreciation</t>
  </si>
  <si>
    <t>Date in</t>
  </si>
  <si>
    <t>Original</t>
  </si>
  <si>
    <t>Expense</t>
  </si>
  <si>
    <t>Service</t>
  </si>
  <si>
    <t>Life</t>
  </si>
  <si>
    <t>Depr. Exp.</t>
  </si>
  <si>
    <t>SUMMARY</t>
  </si>
  <si>
    <t>FIRST</t>
  </si>
  <si>
    <t>ALL OVER</t>
  </si>
  <si>
    <t>USAGE</t>
  </si>
  <si>
    <t>BILLS</t>
  </si>
  <si>
    <t>GALLONS</t>
  </si>
  <si>
    <t>TOTAL</t>
  </si>
  <si>
    <t>RATE</t>
  </si>
  <si>
    <t>REVENUE</t>
  </si>
  <si>
    <t>CURRENT AND PROPOSED RATES</t>
  </si>
  <si>
    <t>Current</t>
  </si>
  <si>
    <t xml:space="preserve">  RETAIL RATES  </t>
  </si>
  <si>
    <t>Private Fire Protection</t>
  </si>
  <si>
    <t>Other Water Revenues</t>
  </si>
  <si>
    <t>Revenue Required From Sales of Water</t>
  </si>
  <si>
    <t>Revenue from Sales with Present Rates</t>
  </si>
  <si>
    <t>Total Revenue Requirement</t>
  </si>
  <si>
    <t>Required Revenue Increase</t>
  </si>
  <si>
    <t>Percent Increase</t>
  </si>
  <si>
    <t>various</t>
  </si>
  <si>
    <t>Meter</t>
  </si>
  <si>
    <t>Difference</t>
  </si>
  <si>
    <t>Bill</t>
  </si>
  <si>
    <t>Percentage</t>
  </si>
  <si>
    <t>Size</t>
  </si>
  <si>
    <t>TOTALS</t>
  </si>
  <si>
    <t>per Month*</t>
  </si>
  <si>
    <t>* Highlighted usage represents the average residential bill.</t>
  </si>
  <si>
    <t>Salaries &amp; Wages and Associated Adjustments</t>
  </si>
  <si>
    <t>Pro Forma</t>
  </si>
  <si>
    <t xml:space="preserve">Pro Forma </t>
  </si>
  <si>
    <t>Employee</t>
  </si>
  <si>
    <t>Reg. Hrs</t>
  </si>
  <si>
    <t>O. T. Hours</t>
  </si>
  <si>
    <t>Wage Rate</t>
  </si>
  <si>
    <t>Reg. Wages</t>
  </si>
  <si>
    <t>Wages</t>
  </si>
  <si>
    <t>Pro Forma Salaries &amp; Wages Expense</t>
  </si>
  <si>
    <t>Less: Test Year Salaries &amp; Wages Exp</t>
  </si>
  <si>
    <t xml:space="preserve"> </t>
  </si>
  <si>
    <t>Times: 7.65 Percent FICA Rate</t>
  </si>
  <si>
    <t>Pro Forma Payroll Taxes</t>
  </si>
  <si>
    <t>Less: Test Year Payroll Taxes</t>
  </si>
  <si>
    <t>Payroll Tax Adjustment</t>
  </si>
  <si>
    <t>Average Annual Principal and Interest Payments</t>
  </si>
  <si>
    <t>Additional Working Capital</t>
  </si>
  <si>
    <t>DEBT SERVICE SCHDULE</t>
  </si>
  <si>
    <t>CY 2024</t>
  </si>
  <si>
    <t>CY 2025</t>
  </si>
  <si>
    <t>CY 2026</t>
  </si>
  <si>
    <t>Interest</t>
  </si>
  <si>
    <t>Principal</t>
  </si>
  <si>
    <t>&amp; Fees</t>
  </si>
  <si>
    <t>Average Annual Principal &amp; Interest</t>
  </si>
  <si>
    <t>Average Annual Coverage</t>
  </si>
  <si>
    <t>General Plant</t>
  </si>
  <si>
    <t>Pumping Plant</t>
  </si>
  <si>
    <t>Transmission &amp; Distribution Plant</t>
  </si>
  <si>
    <t>Transportation Equipment</t>
  </si>
  <si>
    <t>Water Treatment Plant</t>
  </si>
  <si>
    <t>Asset</t>
  </si>
  <si>
    <t>Structures &amp; Improvements</t>
  </si>
  <si>
    <t>Office Furniture &amp; Equipment</t>
  </si>
  <si>
    <t>Power Operated Equipment</t>
  </si>
  <si>
    <t>Tools, Shop, &amp; Garage Equipment</t>
  </si>
  <si>
    <t>Tank Repairs &amp; Painting</t>
  </si>
  <si>
    <t>Telemetry</t>
  </si>
  <si>
    <t>Pumping Equipment</t>
  </si>
  <si>
    <t>Hydrants</t>
  </si>
  <si>
    <t>Transmission &amp; Distribution Mains</t>
  </si>
  <si>
    <t>Meter Installations</t>
  </si>
  <si>
    <t>Meter Change-outs</t>
  </si>
  <si>
    <t>Pump Equipment</t>
  </si>
  <si>
    <t>Tank Fence</t>
  </si>
  <si>
    <t>Services</t>
  </si>
  <si>
    <t>Reservoirs &amp; Tanks</t>
  </si>
  <si>
    <t>Tank Painting &amp; Repairs</t>
  </si>
  <si>
    <t>Entire Group</t>
  </si>
  <si>
    <t xml:space="preserve">              *  Includes only costs associated with assets that contributed to depreciation expense in the test year.</t>
  </si>
  <si>
    <t>Cost *</t>
  </si>
  <si>
    <t>Reported</t>
  </si>
  <si>
    <t>varies</t>
  </si>
  <si>
    <t>RETAIL</t>
  </si>
  <si>
    <t>RETAIL USAGE BY RATE INCREMENT</t>
  </si>
  <si>
    <t>NEXT</t>
  </si>
  <si>
    <t>RETAIL REVENUE BY RATE INCREMENT</t>
  </si>
  <si>
    <t>THOUSAND GALLONS</t>
  </si>
  <si>
    <t>Water Loss Adjustment</t>
  </si>
  <si>
    <t>Sold</t>
  </si>
  <si>
    <t>Uses:</t>
  </si>
  <si>
    <t xml:space="preserve">  water loss percentage</t>
  </si>
  <si>
    <t xml:space="preserve">  allowable in rates</t>
  </si>
  <si>
    <t xml:space="preserve">  adjustment percentage</t>
  </si>
  <si>
    <t>Produced</t>
  </si>
  <si>
    <t>Purchased</t>
  </si>
  <si>
    <t>Total Produced and Purchased</t>
  </si>
  <si>
    <t>Total Other Water Used</t>
  </si>
  <si>
    <t>Losses:</t>
  </si>
  <si>
    <t xml:space="preserve">   WTP</t>
  </si>
  <si>
    <t xml:space="preserve">   Flushing</t>
  </si>
  <si>
    <t xml:space="preserve">   Fire</t>
  </si>
  <si>
    <t xml:space="preserve">   Other</t>
  </si>
  <si>
    <t xml:space="preserve">   Tank O.F.</t>
  </si>
  <si>
    <t xml:space="preserve">   Line Brks.</t>
  </si>
  <si>
    <t xml:space="preserve">   Line Leaks</t>
  </si>
  <si>
    <t xml:space="preserve">   Unknown</t>
  </si>
  <si>
    <t>Total Losses:</t>
  </si>
  <si>
    <t>Sold, Used, and Lost</t>
  </si>
  <si>
    <t>Total Gross Wages</t>
  </si>
  <si>
    <t>Gross Wages for Full Time Employees CERS Eligible</t>
  </si>
  <si>
    <t>D</t>
  </si>
  <si>
    <t>E</t>
  </si>
  <si>
    <t>COMPONENT</t>
  </si>
  <si>
    <t>LESS ADJUSTMENTS</t>
  </si>
  <si>
    <t>DIFFERENCE</t>
  </si>
  <si>
    <t>ADJUSTMENT TO SAO BILLED RETAIL REVENUES</t>
  </si>
  <si>
    <t>Labor and Materials Adjustment for New Service Installations</t>
  </si>
  <si>
    <t xml:space="preserve">Labor </t>
  </si>
  <si>
    <t xml:space="preserve">Materials </t>
  </si>
  <si>
    <t>New Meter Fees Collected</t>
  </si>
  <si>
    <t>Structures and Improvements</t>
  </si>
  <si>
    <t>Water Treatment Equipment</t>
  </si>
  <si>
    <t>Source of Supply Plant</t>
  </si>
  <si>
    <t>Collecting &amp; Impounding Reservoirs</t>
  </si>
  <si>
    <t>Supply Mains</t>
  </si>
  <si>
    <t>Allowed Depreciation</t>
  </si>
  <si>
    <t>Less: Reported Depreciation</t>
  </si>
  <si>
    <t>Adjustment to Allowed Depreciation</t>
  </si>
  <si>
    <t>``</t>
  </si>
  <si>
    <t>Total Adjustment</t>
  </si>
  <si>
    <t>CURRENT AND PROPOSED BILLS</t>
  </si>
  <si>
    <t xml:space="preserve">   Excavation Damages</t>
  </si>
  <si>
    <t>Computation of Adjustment:</t>
  </si>
  <si>
    <t>NET METERED WATER SALES</t>
  </si>
  <si>
    <t>*Note: Revenues not adjusted because tapping fees collected</t>
  </si>
  <si>
    <t>are closed out to Statement of Member Equity</t>
  </si>
  <si>
    <t>I</t>
  </si>
  <si>
    <t>G</t>
  </si>
  <si>
    <t>Increase in salaries and wages.</t>
  </si>
  <si>
    <t>Decrease materials attributable to tapping fees.</t>
  </si>
  <si>
    <t>Decrease depreciation to allowed useful lives.</t>
  </si>
  <si>
    <t>J</t>
  </si>
  <si>
    <t>Twenty percent of average of next five years debt service payments.</t>
  </si>
  <si>
    <t>Next 5,000 Gallons</t>
  </si>
  <si>
    <t>Exclude purchased water expense above 15% water loss.</t>
  </si>
  <si>
    <t>Exclude purchased power expense above 15% water loss.</t>
  </si>
  <si>
    <t>Mt Sterling</t>
  </si>
  <si>
    <t>Reclassify purchase power expense from Misc. expenses</t>
  </si>
  <si>
    <t>Pro Forma Salaries and Wages Expense including officers</t>
  </si>
  <si>
    <t>Wholesale rate</t>
  </si>
  <si>
    <t>Increase</t>
  </si>
  <si>
    <t>A</t>
  </si>
  <si>
    <t>B</t>
  </si>
  <si>
    <t>K</t>
  </si>
  <si>
    <t>L</t>
  </si>
  <si>
    <t>Bonus Wages</t>
  </si>
  <si>
    <t>Salaries and wages - officers</t>
  </si>
  <si>
    <t>Pro Forma Salaries &amp; Wages Adjustment</t>
  </si>
  <si>
    <t>Communication &amp; Computer Eq.</t>
  </si>
  <si>
    <t xml:space="preserve">                      &amp; Workers Comp.</t>
  </si>
  <si>
    <t>Insurance -Health, Gen. Liab.</t>
  </si>
  <si>
    <t>Retirement Benefit</t>
  </si>
  <si>
    <t>1st Qtr</t>
  </si>
  <si>
    <t>2nd Qtr</t>
  </si>
  <si>
    <t>3rd Qtr</t>
  </si>
  <si>
    <t>4th Qtr</t>
  </si>
  <si>
    <t>Debt Service Coverage Method</t>
  </si>
  <si>
    <t>Operating Ratio Method</t>
  </si>
  <si>
    <t>Average of next five years annual principal and interest payments.</t>
  </si>
  <si>
    <t>TABLE A</t>
  </si>
  <si>
    <t>TABLE B</t>
  </si>
  <si>
    <t>TABLE D</t>
  </si>
  <si>
    <t>***option for calculating RR not recommended***</t>
  </si>
  <si>
    <t>Levee Road Water Association, Inc.</t>
  </si>
  <si>
    <t>Levee Road Water Association</t>
  </si>
  <si>
    <t>First 2,000 Gallons</t>
  </si>
  <si>
    <t>Next 13,000 Gallons</t>
  </si>
  <si>
    <t>Over 20,000 Gallons</t>
  </si>
  <si>
    <t>Bulk Sales</t>
  </si>
  <si>
    <t>FROM PSC ANNUAL REPORT</t>
  </si>
  <si>
    <t>BULK SALES</t>
  </si>
  <si>
    <t>Interest and Dividend income</t>
  </si>
  <si>
    <t>Rents</t>
  </si>
  <si>
    <t>Insurance</t>
  </si>
  <si>
    <t xml:space="preserve">Rates 2021-00015 per 278.023 </t>
  </si>
  <si>
    <t>New Meter Connections</t>
  </si>
  <si>
    <t>5/8" meters</t>
  </si>
  <si>
    <t>CURRENT BILLING ANALYSIS WITH 2022 USAGE &amp; EXISTING RATES</t>
  </si>
  <si>
    <t>2022</t>
  </si>
  <si>
    <t>2022 PSC Annual Report</t>
  </si>
  <si>
    <t>Bad Debt</t>
  </si>
  <si>
    <t>2022 AR</t>
  </si>
  <si>
    <t>Amortization</t>
  </si>
  <si>
    <t>3yr amortization of rate case expense, $8,100</t>
  </si>
  <si>
    <t>Benjamin Rudd</t>
  </si>
  <si>
    <t>Manager</t>
  </si>
  <si>
    <t>2023 Salaries</t>
  </si>
  <si>
    <t>Arthur Gibson</t>
  </si>
  <si>
    <t>Chairman</t>
  </si>
  <si>
    <t>James Shipp</t>
  </si>
  <si>
    <t>Rusty Dunn</t>
  </si>
  <si>
    <t>Brenda Murphy</t>
  </si>
  <si>
    <t>Secretary</t>
  </si>
  <si>
    <t>Treasurer</t>
  </si>
  <si>
    <t>Beverly Carpenter</t>
  </si>
  <si>
    <t>Misc. Expense 2022 AR</t>
  </si>
  <si>
    <t>Advertising</t>
  </si>
  <si>
    <t>Bank Service Charge</t>
  </si>
  <si>
    <t>Batch Fees</t>
  </si>
  <si>
    <t>Box Rental</t>
  </si>
  <si>
    <t>Christmas Bonus</t>
  </si>
  <si>
    <t>Dues and Subscriptions</t>
  </si>
  <si>
    <t>Gifts</t>
  </si>
  <si>
    <t>Line Repair Materials</t>
  </si>
  <si>
    <t>Meter Supplies</t>
  </si>
  <si>
    <t>Mileage</t>
  </si>
  <si>
    <t>Mowing</t>
  </si>
  <si>
    <t>Office Supplies</t>
  </si>
  <si>
    <t>Payroll Error</t>
  </si>
  <si>
    <t>Postage</t>
  </si>
  <si>
    <t>Repairs &amp; Mtce.</t>
  </si>
  <si>
    <t>Returned Check Fee</t>
  </si>
  <si>
    <t>Telephone</t>
  </si>
  <si>
    <t>Travel</t>
  </si>
  <si>
    <t>Utilities</t>
  </si>
  <si>
    <t>TOTAL MISC.EXPENSE</t>
  </si>
  <si>
    <t>Insurance Expense</t>
  </si>
  <si>
    <t>KACO</t>
  </si>
  <si>
    <t>Flood Ins.</t>
  </si>
  <si>
    <t>9/26/23 email from Vickie R.</t>
  </si>
  <si>
    <t>CY 2027</t>
  </si>
  <si>
    <t>CY 2028</t>
  </si>
  <si>
    <t>CY 2024 - 2028</t>
  </si>
  <si>
    <t>Decrease metered retail sales to billing analysis total.</t>
  </si>
  <si>
    <t>Board Salary</t>
  </si>
  <si>
    <t>Water loss Surcharge</t>
  </si>
  <si>
    <t>Water loss</t>
  </si>
  <si>
    <t>Cell D30</t>
  </si>
  <si>
    <t>Cell H26</t>
  </si>
  <si>
    <t>Cell F11</t>
  </si>
  <si>
    <t>ExBa</t>
  </si>
  <si>
    <t>Effective 8/1/2023</t>
  </si>
  <si>
    <t>Per 1,000 gallon</t>
  </si>
  <si>
    <t>2022 PSC AR Purchased Water Expense</t>
  </si>
  <si>
    <t>Increase due to suppliers wholesale rate increase</t>
  </si>
  <si>
    <t>Water Loss</t>
  </si>
  <si>
    <t>Cell K8</t>
  </si>
  <si>
    <t>Cell K44</t>
  </si>
  <si>
    <t>Increase in employer portion of FICA taxes.</t>
  </si>
  <si>
    <t>Cell H32</t>
  </si>
  <si>
    <t>Divide Operating expenses by Operating Ratio of .88</t>
  </si>
  <si>
    <t>5 yr. Average Interest &amp; Fees</t>
  </si>
  <si>
    <t>Debt Service</t>
  </si>
  <si>
    <t>Cell M24</t>
  </si>
  <si>
    <t>Last Payment 11/6/25</t>
  </si>
  <si>
    <t>APPROVED</t>
  </si>
  <si>
    <t>Amount</t>
  </si>
  <si>
    <t>1994-455</t>
  </si>
  <si>
    <t>2021-15</t>
  </si>
  <si>
    <t>* Levee Road WA did not file PWA</t>
  </si>
  <si>
    <t>Total Operation and Maintenance expense</t>
  </si>
  <si>
    <t>Adjustment to revenues to match test year billing analysis with current rates.</t>
  </si>
  <si>
    <t>Increase in wage rates resulting in an annual wage increase of $7,854.</t>
  </si>
  <si>
    <t>Commercial Hauler</t>
  </si>
  <si>
    <t>Individual private loading</t>
  </si>
  <si>
    <t>Minimum Bill</t>
  </si>
  <si>
    <t>Per Gallon</t>
  </si>
  <si>
    <t>Percent</t>
  </si>
  <si>
    <t>RD 91-06</t>
  </si>
  <si>
    <t>LRWA 2022 BA Summary Rate Analysis Report</t>
  </si>
  <si>
    <t>Five year Average interest expense</t>
  </si>
  <si>
    <t>The utility's test year water loss was 19.89 percent. The PSC's maximum allowable loss for rate-making purposes in 15.0 percent. Therefore, the expenses for purchased water and purchased power above the 15 percent limit is not allowed in the rate base and must be deducted. Purchased water expense was decreased by $9,619 and Purchased power expense was decreased by $301</t>
  </si>
  <si>
    <t xml:space="preserve">The utility's wholesale water supplier increased its wholesale rate to the utility resulting in an annual increase of $22,979 in purchased water expense. </t>
  </si>
  <si>
    <t>Reclassify $6,162 purchased power expense that was included in Miscellaneous Expenses in 2022 PSC annual report.</t>
  </si>
  <si>
    <t>The PSC requires adjustments to a water utility's depreciation expense when asset lives fall outside the ranges recommended by NARUC in its publication titled "Depreciation Practices for small utilities".  Therefore, adjustments are included to bring asset lives to the midpoint of the recommended ranges, depreciation expense was reduced by $21,663. See Table A.</t>
  </si>
  <si>
    <t>Increase to payroll taxes by $1,420, due to increase in employee wages.</t>
  </si>
  <si>
    <t xml:space="preserve">Increase amortization expense in the amount of $2,700 to recover rate case expense ($8,100) amortized over three years. </t>
  </si>
  <si>
    <t>LRWA does not provide health Ins.</t>
  </si>
  <si>
    <t>KACO 10,120(workers comp and general liab.) + flood Ins 1,042</t>
  </si>
  <si>
    <t>Cell M19</t>
  </si>
  <si>
    <t>Cell M21</t>
  </si>
  <si>
    <t>Breakdown of Miscellanious expense</t>
  </si>
  <si>
    <t>Cell D101</t>
  </si>
  <si>
    <t>REFERENCES</t>
  </si>
  <si>
    <t>Cell D31</t>
  </si>
  <si>
    <t>Per month</t>
  </si>
  <si>
    <t>Contractional Service-Water Testing</t>
  </si>
  <si>
    <t xml:space="preserve"> Contrational Services-Other</t>
  </si>
  <si>
    <t>Reclassify meter supplies expenses from Misc. expense</t>
  </si>
  <si>
    <t>SAO</t>
  </si>
  <si>
    <t>Cell D91</t>
  </si>
  <si>
    <t>Reclassify $12,563 Meter supplies expense that was included in Miscellaneous Expenses in 2022 PSC annual report.</t>
  </si>
  <si>
    <t>Capital</t>
  </si>
  <si>
    <t>Cell C6</t>
  </si>
  <si>
    <t>REVENUE REQUIRMENT FROM WATER RATES</t>
  </si>
  <si>
    <t>C</t>
  </si>
  <si>
    <t>F</t>
  </si>
  <si>
    <t>The utility collected $9,630 in tapping fees in 2022. These taps were installed by a contractor for the utility.  Materials and supplies expense has been reduced by $6,741 or 70% of the tapping fees.</t>
  </si>
  <si>
    <t>H</t>
  </si>
  <si>
    <t xml:space="preserve">The five year average interest expense on loans is added to the Revenue Requirement. </t>
  </si>
  <si>
    <t>1985 RD 91-03</t>
  </si>
  <si>
    <t>1995 RD 91-04</t>
  </si>
  <si>
    <t>Utility hires contractor to do field work no adjustment to labor</t>
  </si>
  <si>
    <t>Salary</t>
  </si>
  <si>
    <t>Office staff</t>
  </si>
  <si>
    <t>Mary Dunn (Wed - Fri)</t>
  </si>
  <si>
    <t>Revenue requirement is computed using the Operating Ratio Method. This method is used when systems have little or no debt. Operating expenses are divided by an Operating Ratio of .88.</t>
  </si>
  <si>
    <t>CURRENT BILLING ANALYSIS WITH 2022 USAGE &amp; PROPOSED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</si>
</sst>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 #,##0.0_);_(* \(#,##0.0\);_(* &quot;-&quot;??_);_(@_)"/>
    <numFmt numFmtId="168" formatCode="mm/dd/yy;@"/>
    <numFmt numFmtId="169" formatCode="_([$$-409]* #,##0_);_([$$-409]* \(#,##0\);_([$$-409]* &quot;-&quot;??_);_(@_)"/>
    <numFmt numFmtId="170" formatCode="[$$-409]#,##0"/>
    <numFmt numFmtId="171" formatCode="&quot;$&quot;#,##0.00"/>
    <numFmt numFmtId="172" formatCode="0_);\(0\)"/>
    <numFmt numFmtId="173" formatCode="_(* #,##0.00000_);_(* \(#,##0.00000\);_(* &quot;-&quot;??_);_(@_)"/>
    <numFmt numFmtId="174" formatCode="_(&quot;$&quot;* #,##0.00000_);_(&quot;$&quot;* \(#,##0.00000\);_(&quot;$&quot;* &quot;-&quot;??_);_(@_)"/>
  </numFmts>
  <fonts count="27" x14ac:knownFonts="1">
    <font>
      <sz val="12"/>
      <name val="Arial"/>
    </font>
    <font>
      <sz val="12"/>
      <name val="Arial"/>
      <family val="2"/>
    </font>
    <font>
      <sz val="12"/>
      <name val="Arial"/>
      <family val="2"/>
    </font>
    <font>
      <sz val="11"/>
      <name val="Calibri"/>
      <family val="2"/>
      <scheme val="minor"/>
    </font>
    <font>
      <b/>
      <sz val="14"/>
      <name val="Calibri"/>
      <family val="2"/>
      <scheme val="minor"/>
    </font>
    <font>
      <b/>
      <u/>
      <sz val="14"/>
      <name val="Calibri"/>
      <family val="2"/>
      <scheme val="minor"/>
    </font>
    <font>
      <u/>
      <sz val="11"/>
      <name val="Calibri"/>
      <family val="2"/>
      <scheme val="minor"/>
    </font>
    <font>
      <b/>
      <sz val="11"/>
      <name val="Calibri"/>
      <family val="2"/>
      <scheme val="minor"/>
    </font>
    <font>
      <b/>
      <u/>
      <sz val="11"/>
      <name val="Calibri"/>
      <family val="2"/>
      <scheme val="minor"/>
    </font>
    <font>
      <u val="singleAccounting"/>
      <sz val="11"/>
      <name val="Calibri"/>
      <family val="2"/>
      <scheme val="minor"/>
    </font>
    <font>
      <b/>
      <u val="singleAccounting"/>
      <sz val="11"/>
      <name val="Calibri"/>
      <family val="2"/>
      <scheme val="minor"/>
    </font>
    <font>
      <b/>
      <sz val="12"/>
      <name val="Calibri"/>
      <family val="2"/>
      <scheme val="minor"/>
    </font>
    <font>
      <sz val="8"/>
      <color rgb="FFFF0000"/>
      <name val="Calibri"/>
      <family val="2"/>
      <scheme val="minor"/>
    </font>
    <font>
      <b/>
      <sz val="11"/>
      <color rgb="FFFF0000"/>
      <name val="Calibri"/>
      <family val="2"/>
      <scheme val="minor"/>
    </font>
    <font>
      <b/>
      <sz val="8"/>
      <color rgb="FF00B050"/>
      <name val="Calibri"/>
      <family val="2"/>
      <scheme val="minor"/>
    </font>
    <font>
      <sz val="11"/>
      <color theme="1"/>
      <name val="Calibri"/>
      <family val="2"/>
      <scheme val="minor"/>
    </font>
    <font>
      <sz val="8"/>
      <name val="Calibri"/>
      <family val="2"/>
      <scheme val="minor"/>
    </font>
    <font>
      <b/>
      <sz val="16"/>
      <name val="Calibri"/>
      <family val="2"/>
      <scheme val="minor"/>
    </font>
    <font>
      <b/>
      <u/>
      <sz val="16"/>
      <name val="Calibri"/>
      <family val="2"/>
      <scheme val="minor"/>
    </font>
    <font>
      <sz val="12"/>
      <name val="Calibri"/>
      <family val="2"/>
      <scheme val="minor"/>
    </font>
    <font>
      <sz val="11"/>
      <name val="Arial"/>
      <family val="2"/>
    </font>
    <font>
      <b/>
      <i/>
      <u/>
      <sz val="14"/>
      <name val="Calibri"/>
      <family val="2"/>
      <scheme val="minor"/>
    </font>
    <font>
      <sz val="14"/>
      <name val="Calibri"/>
      <family val="2"/>
      <scheme val="minor"/>
    </font>
    <font>
      <u/>
      <sz val="11"/>
      <name val="Arial"/>
      <family val="2"/>
    </font>
    <font>
      <sz val="14"/>
      <name val="Arial"/>
      <family val="2"/>
    </font>
    <font>
      <b/>
      <sz val="14"/>
      <name val="Arial"/>
      <family val="2"/>
    </font>
    <font>
      <u val="singleAccounting"/>
      <sz val="12"/>
      <name val="Arial"/>
      <family val="2"/>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cellStyleXfs>
  <cellXfs count="386">
    <xf numFmtId="0" fontId="0" fillId="0" borderId="0" xfId="0"/>
    <xf numFmtId="0" fontId="3" fillId="0" borderId="0" xfId="0" applyFont="1"/>
    <xf numFmtId="165" fontId="3" fillId="0" borderId="0" xfId="0" applyNumberFormat="1" applyFont="1"/>
    <xf numFmtId="3" fontId="3" fillId="0" borderId="0" xfId="0" applyNumberFormat="1" applyFont="1"/>
    <xf numFmtId="0" fontId="0" fillId="0" borderId="6" xfId="0" applyBorder="1"/>
    <xf numFmtId="165" fontId="3" fillId="0" borderId="1" xfId="1" applyNumberFormat="1" applyFont="1" applyBorder="1"/>
    <xf numFmtId="165" fontId="3" fillId="0" borderId="0" xfId="1" applyNumberFormat="1" applyFont="1" applyBorder="1"/>
    <xf numFmtId="165" fontId="3" fillId="0" borderId="0" xfId="1" applyNumberFormat="1" applyFont="1"/>
    <xf numFmtId="165" fontId="3" fillId="0" borderId="3" xfId="1" applyNumberFormat="1" applyFont="1" applyBorder="1"/>
    <xf numFmtId="165" fontId="3" fillId="0" borderId="2" xfId="1" applyNumberFormat="1" applyFont="1" applyBorder="1"/>
    <xf numFmtId="165" fontId="3" fillId="0" borderId="4" xfId="1" applyNumberFormat="1" applyFont="1" applyBorder="1"/>
    <xf numFmtId="165" fontId="3" fillId="0" borderId="7" xfId="1" applyNumberFormat="1" applyFont="1" applyBorder="1"/>
    <xf numFmtId="165" fontId="3" fillId="0" borderId="8" xfId="1" applyNumberFormat="1" applyFont="1" applyBorder="1"/>
    <xf numFmtId="165" fontId="3" fillId="0" borderId="5" xfId="1" applyNumberFormat="1" applyFont="1" applyBorder="1"/>
    <xf numFmtId="165" fontId="3" fillId="0" borderId="6" xfId="1" applyNumberFormat="1" applyFont="1" applyBorder="1"/>
    <xf numFmtId="43" fontId="3" fillId="0" borderId="0" xfId="1" applyFont="1"/>
    <xf numFmtId="165" fontId="9" fillId="0" borderId="0" xfId="1" applyNumberFormat="1" applyFont="1" applyBorder="1" applyAlignment="1">
      <alignment horizontal="center"/>
    </xf>
    <xf numFmtId="43" fontId="3" fillId="0" borderId="0" xfId="1" applyFont="1" applyBorder="1"/>
    <xf numFmtId="165" fontId="3" fillId="0" borderId="0" xfId="5" applyNumberFormat="1" applyFont="1"/>
    <xf numFmtId="3" fontId="3" fillId="0" borderId="0" xfId="0" applyNumberFormat="1" applyFont="1" applyAlignment="1">
      <alignment horizontal="right"/>
    </xf>
    <xf numFmtId="165" fontId="3" fillId="0" borderId="7" xfId="5" applyNumberFormat="1" applyFont="1" applyBorder="1"/>
    <xf numFmtId="0" fontId="3" fillId="0" borderId="0" xfId="0" applyFont="1" applyAlignment="1">
      <alignment horizontal="center"/>
    </xf>
    <xf numFmtId="0" fontId="3" fillId="0" borderId="0" xfId="0" applyFont="1" applyAlignment="1">
      <alignment horizontal="right"/>
    </xf>
    <xf numFmtId="165" fontId="3" fillId="0" borderId="0" xfId="5" applyNumberFormat="1" applyFont="1" applyBorder="1"/>
    <xf numFmtId="0" fontId="13" fillId="0" borderId="0" xfId="0" applyFont="1" applyAlignment="1">
      <alignment horizontal="centerContinuous"/>
    </xf>
    <xf numFmtId="0" fontId="3" fillId="0" borderId="0" xfId="0" applyFont="1" applyAlignment="1">
      <alignment horizontal="centerContinuous"/>
    </xf>
    <xf numFmtId="165" fontId="9" fillId="0" borderId="0" xfId="1" applyNumberFormat="1" applyFont="1"/>
    <xf numFmtId="167" fontId="8" fillId="0" borderId="0" xfId="5" applyNumberFormat="1" applyFont="1" applyBorder="1" applyAlignment="1">
      <alignment horizontal="center"/>
    </xf>
    <xf numFmtId="43" fontId="3" fillId="0" borderId="0" xfId="1" applyFont="1" applyBorder="1" applyAlignment="1"/>
    <xf numFmtId="43" fontId="3" fillId="0" borderId="0" xfId="1" applyFont="1" applyBorder="1" applyAlignment="1">
      <alignment horizontal="right"/>
    </xf>
    <xf numFmtId="43" fontId="3" fillId="0" borderId="7" xfId="1" applyFont="1" applyBorder="1"/>
    <xf numFmtId="43" fontId="9" fillId="0" borderId="0" xfId="1" applyFont="1" applyBorder="1" applyAlignment="1">
      <alignment horizontal="center"/>
    </xf>
    <xf numFmtId="44" fontId="3" fillId="0" borderId="0" xfId="2" applyFont="1" applyBorder="1" applyAlignment="1"/>
    <xf numFmtId="44" fontId="3" fillId="0" borderId="0" xfId="2" applyFont="1" applyBorder="1" applyAlignment="1">
      <alignment vertical="center"/>
    </xf>
    <xf numFmtId="164" fontId="3" fillId="0" borderId="0" xfId="6" applyNumberFormat="1" applyFont="1"/>
    <xf numFmtId="165" fontId="6" fillId="0" borderId="0" xfId="1" applyNumberFormat="1" applyFont="1"/>
    <xf numFmtId="165" fontId="9" fillId="0" borderId="8" xfId="1" applyNumberFormat="1" applyFont="1" applyBorder="1" applyAlignment="1">
      <alignment horizontal="center"/>
    </xf>
    <xf numFmtId="3" fontId="4" fillId="0" borderId="0" xfId="0" applyNumberFormat="1" applyFont="1" applyAlignment="1">
      <alignment horizontal="center" vertical="center"/>
    </xf>
    <xf numFmtId="3" fontId="11" fillId="0" borderId="7"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8" xfId="0" applyNumberFormat="1" applyFont="1" applyBorder="1" applyAlignment="1">
      <alignment horizontal="center" vertical="center"/>
    </xf>
    <xf numFmtId="165" fontId="9" fillId="0" borderId="7" xfId="1" applyNumberFormat="1" applyFont="1" applyBorder="1" applyAlignment="1">
      <alignment horizontal="center"/>
    </xf>
    <xf numFmtId="43" fontId="3" fillId="0" borderId="8" xfId="1" quotePrefix="1" applyFont="1" applyBorder="1" applyAlignment="1">
      <alignment horizontal="center"/>
    </xf>
    <xf numFmtId="0" fontId="3" fillId="0" borderId="8" xfId="0" applyFont="1" applyBorder="1" applyAlignment="1">
      <alignment horizontal="center"/>
    </xf>
    <xf numFmtId="43" fontId="3" fillId="0" borderId="1" xfId="1" applyFont="1" applyBorder="1"/>
    <xf numFmtId="43" fontId="3" fillId="0" borderId="5" xfId="1" applyFont="1" applyBorder="1"/>
    <xf numFmtId="166" fontId="3" fillId="0" borderId="8" xfId="3" applyNumberFormat="1" applyFont="1" applyBorder="1"/>
    <xf numFmtId="165" fontId="3" fillId="2" borderId="0" xfId="1" applyNumberFormat="1" applyFont="1" applyFill="1" applyBorder="1"/>
    <xf numFmtId="43" fontId="3" fillId="2" borderId="8" xfId="1" quotePrefix="1" applyFont="1" applyFill="1" applyBorder="1" applyAlignment="1">
      <alignment horizontal="center"/>
    </xf>
    <xf numFmtId="166" fontId="3" fillId="2" borderId="8" xfId="3" applyNumberFormat="1" applyFont="1" applyFill="1" applyBorder="1"/>
    <xf numFmtId="165" fontId="13" fillId="0" borderId="0" xfId="1" applyNumberFormat="1" applyFont="1"/>
    <xf numFmtId="10" fontId="3" fillId="0" borderId="0" xfId="0" applyNumberFormat="1" applyFont="1"/>
    <xf numFmtId="44" fontId="3" fillId="0" borderId="0" xfId="2" applyFont="1" applyBorder="1"/>
    <xf numFmtId="165" fontId="3" fillId="0" borderId="0" xfId="5" quotePrefix="1" applyNumberFormat="1" applyFont="1"/>
    <xf numFmtId="43" fontId="3" fillId="0" borderId="0" xfId="1" applyFont="1" applyBorder="1" applyAlignment="1">
      <alignment horizontal="center"/>
    </xf>
    <xf numFmtId="0" fontId="3" fillId="0" borderId="7" xfId="0" applyFont="1" applyBorder="1"/>
    <xf numFmtId="165" fontId="3" fillId="0" borderId="0" xfId="1" applyNumberFormat="1" applyFont="1" applyAlignment="1">
      <alignment horizontal="centerContinuous" vertical="center"/>
    </xf>
    <xf numFmtId="165" fontId="3" fillId="0" borderId="0" xfId="1" applyNumberFormat="1" applyFont="1" applyAlignment="1">
      <alignment vertical="center"/>
    </xf>
    <xf numFmtId="165" fontId="8" fillId="0" borderId="0" xfId="1" applyNumberFormat="1" applyFont="1" applyAlignment="1">
      <alignment horizontal="center" vertical="center"/>
    </xf>
    <xf numFmtId="165" fontId="6" fillId="0" borderId="0" xfId="1" applyNumberFormat="1" applyFont="1" applyAlignment="1">
      <alignment vertical="center"/>
    </xf>
    <xf numFmtId="165" fontId="3" fillId="0" borderId="0" xfId="1" applyNumberFormat="1" applyFont="1" applyAlignment="1">
      <alignment horizontal="center" vertical="center"/>
    </xf>
    <xf numFmtId="165" fontId="12" fillId="0" borderId="0" xfId="1" applyNumberFormat="1" applyFont="1" applyAlignment="1">
      <alignment vertical="center"/>
    </xf>
    <xf numFmtId="165" fontId="14" fillId="0" borderId="0" xfId="1" applyNumberFormat="1" applyFont="1" applyAlignment="1">
      <alignment vertical="center"/>
    </xf>
    <xf numFmtId="165" fontId="16" fillId="0" borderId="0" xfId="1" applyNumberFormat="1" applyFont="1" applyAlignment="1">
      <alignment vertical="center"/>
    </xf>
    <xf numFmtId="165" fontId="7" fillId="0" borderId="0" xfId="1" applyNumberFormat="1" applyFont="1" applyAlignment="1">
      <alignment vertical="center"/>
    </xf>
    <xf numFmtId="165" fontId="3" fillId="0" borderId="0" xfId="1" applyNumberFormat="1" applyFont="1" applyAlignment="1">
      <alignment horizontal="center"/>
    </xf>
    <xf numFmtId="165" fontId="12" fillId="0" borderId="0" xfId="1" applyNumberFormat="1" applyFont="1" applyAlignment="1">
      <alignment horizontal="left"/>
    </xf>
    <xf numFmtId="165" fontId="12" fillId="0" borderId="0" xfId="1" applyNumberFormat="1" applyFont="1" applyAlignment="1">
      <alignment horizontal="center"/>
    </xf>
    <xf numFmtId="165" fontId="10" fillId="0" borderId="0" xfId="1" quotePrefix="1" applyNumberFormat="1" applyFont="1" applyAlignment="1">
      <alignment horizontal="center" vertical="center"/>
    </xf>
    <xf numFmtId="165" fontId="10" fillId="0" borderId="0" xfId="1" applyNumberFormat="1" applyFont="1" applyAlignment="1">
      <alignment horizontal="center" vertical="center"/>
    </xf>
    <xf numFmtId="165" fontId="3" fillId="0" borderId="0" xfId="1" applyNumberFormat="1" applyFont="1" applyAlignment="1"/>
    <xf numFmtId="165" fontId="10" fillId="0" borderId="0" xfId="1" applyNumberFormat="1" applyFont="1" applyAlignment="1">
      <alignment vertical="center"/>
    </xf>
    <xf numFmtId="10" fontId="3" fillId="0" borderId="0" xfId="3" applyNumberFormat="1" applyFont="1" applyAlignment="1">
      <alignment vertical="center"/>
    </xf>
    <xf numFmtId="165" fontId="3" fillId="0" borderId="6" xfId="5" applyNumberFormat="1" applyFont="1" applyBorder="1"/>
    <xf numFmtId="165" fontId="3" fillId="0" borderId="0" xfId="5" applyNumberFormat="1" applyFont="1" applyBorder="1" applyAlignment="1">
      <alignment horizontal="center"/>
    </xf>
    <xf numFmtId="10" fontId="3" fillId="0" borderId="0" xfId="3" applyNumberFormat="1" applyFont="1" applyBorder="1"/>
    <xf numFmtId="165" fontId="3" fillId="0" borderId="8" xfId="5" applyNumberFormat="1" applyFont="1" applyBorder="1"/>
    <xf numFmtId="165" fontId="7" fillId="0" borderId="7" xfId="5" applyNumberFormat="1" applyFont="1" applyBorder="1" applyAlignment="1">
      <alignment horizontal="center"/>
    </xf>
    <xf numFmtId="165" fontId="3" fillId="0" borderId="0" xfId="1" applyNumberFormat="1" applyFont="1" applyBorder="1" applyAlignment="1">
      <alignment vertical="center"/>
    </xf>
    <xf numFmtId="165" fontId="9" fillId="0" borderId="0" xfId="1" applyNumberFormat="1" applyFont="1" applyBorder="1" applyAlignment="1">
      <alignment vertical="center"/>
    </xf>
    <xf numFmtId="165" fontId="3" fillId="0" borderId="0" xfId="1" applyNumberFormat="1" applyFont="1" applyBorder="1" applyAlignment="1">
      <alignment horizontal="center" vertical="center"/>
    </xf>
    <xf numFmtId="165" fontId="9" fillId="0" borderId="0" xfId="1" applyNumberFormat="1" applyFont="1" applyAlignment="1">
      <alignment vertical="center"/>
    </xf>
    <xf numFmtId="165" fontId="3" fillId="0" borderId="3" xfId="5" applyNumberFormat="1" applyFont="1" applyBorder="1"/>
    <xf numFmtId="165" fontId="3" fillId="0" borderId="2" xfId="5" applyNumberFormat="1" applyFont="1" applyBorder="1"/>
    <xf numFmtId="165" fontId="3" fillId="0" borderId="4" xfId="5" applyNumberFormat="1" applyFont="1" applyBorder="1"/>
    <xf numFmtId="165" fontId="7" fillId="0" borderId="0" xfId="5" applyNumberFormat="1" applyFont="1" applyAlignment="1">
      <alignment horizontal="centerContinuous"/>
    </xf>
    <xf numFmtId="165" fontId="5" fillId="0" borderId="7" xfId="5" applyNumberFormat="1" applyFont="1" applyBorder="1" applyAlignment="1">
      <alignment horizontal="centerContinuous"/>
    </xf>
    <xf numFmtId="165" fontId="8" fillId="0" borderId="0" xfId="5" applyNumberFormat="1" applyFont="1" applyAlignment="1">
      <alignment horizontal="centerContinuous"/>
    </xf>
    <xf numFmtId="3" fontId="11" fillId="0" borderId="7" xfId="0" applyNumberFormat="1" applyFont="1" applyBorder="1" applyAlignment="1">
      <alignment horizontal="centerContinuous" vertical="center"/>
    </xf>
    <xf numFmtId="165" fontId="19" fillId="0" borderId="7" xfId="5" applyNumberFormat="1" applyFont="1" applyBorder="1" applyAlignment="1">
      <alignment horizontal="centerContinuous"/>
    </xf>
    <xf numFmtId="165" fontId="3" fillId="0" borderId="0" xfId="5" applyNumberFormat="1" applyFont="1" applyAlignment="1">
      <alignment horizontal="centerContinuous"/>
    </xf>
    <xf numFmtId="165" fontId="3" fillId="0" borderId="7" xfId="5" applyNumberFormat="1" applyFont="1" applyBorder="1" applyAlignment="1">
      <alignment horizontal="centerContinuous"/>
    </xf>
    <xf numFmtId="165" fontId="3" fillId="0" borderId="9" xfId="5" applyNumberFormat="1" applyFont="1" applyBorder="1" applyAlignment="1">
      <alignment horizontal="left"/>
    </xf>
    <xf numFmtId="165" fontId="3" fillId="0" borderId="3" xfId="5" applyNumberFormat="1" applyFont="1" applyBorder="1" applyAlignment="1">
      <alignment horizontal="left"/>
    </xf>
    <xf numFmtId="165" fontId="3" fillId="0" borderId="2" xfId="5" applyNumberFormat="1" applyFont="1" applyBorder="1" applyAlignment="1">
      <alignment horizontal="left"/>
    </xf>
    <xf numFmtId="165" fontId="3" fillId="0" borderId="4" xfId="5" applyNumberFormat="1" applyFont="1" applyBorder="1" applyAlignment="1">
      <alignment horizontal="left"/>
    </xf>
    <xf numFmtId="165" fontId="3" fillId="0" borderId="10" xfId="5" applyNumberFormat="1" applyFont="1" applyBorder="1"/>
    <xf numFmtId="165" fontId="10" fillId="0" borderId="0" xfId="5" applyNumberFormat="1" applyFont="1" applyAlignment="1">
      <alignment horizontal="center" vertical="center"/>
    </xf>
    <xf numFmtId="165" fontId="7" fillId="0" borderId="8" xfId="5" applyNumberFormat="1" applyFont="1" applyBorder="1" applyAlignment="1">
      <alignment horizontal="center" vertical="center"/>
    </xf>
    <xf numFmtId="165" fontId="7" fillId="0" borderId="0" xfId="5" applyNumberFormat="1" applyFont="1" applyAlignment="1">
      <alignment horizontal="center" vertical="center"/>
    </xf>
    <xf numFmtId="165" fontId="10" fillId="0" borderId="8" xfId="5" applyNumberFormat="1" applyFont="1" applyBorder="1" applyAlignment="1">
      <alignment horizontal="center" vertical="center"/>
    </xf>
    <xf numFmtId="165" fontId="10" fillId="0" borderId="0" xfId="5" applyNumberFormat="1" applyFont="1" applyBorder="1" applyAlignment="1">
      <alignment horizontal="center" vertical="center"/>
    </xf>
    <xf numFmtId="165" fontId="3" fillId="0" borderId="10" xfId="5" applyNumberFormat="1" applyFont="1" applyBorder="1" applyAlignment="1">
      <alignment horizontal="left"/>
    </xf>
    <xf numFmtId="165" fontId="3" fillId="0" borderId="7" xfId="5" applyNumberFormat="1" applyFont="1" applyBorder="1" applyAlignment="1">
      <alignment horizontal="center"/>
    </xf>
    <xf numFmtId="165" fontId="3" fillId="0" borderId="8" xfId="5" applyNumberFormat="1" applyFont="1" applyBorder="1" applyAlignment="1">
      <alignment horizontal="center"/>
    </xf>
    <xf numFmtId="165" fontId="3" fillId="0" borderId="0" xfId="5" quotePrefix="1" applyNumberFormat="1" applyFont="1" applyBorder="1" applyAlignment="1">
      <alignment horizontal="center"/>
    </xf>
    <xf numFmtId="165" fontId="3" fillId="0" borderId="10" xfId="5" quotePrefix="1" applyNumberFormat="1" applyFont="1" applyBorder="1" applyAlignment="1">
      <alignment horizontal="center"/>
    </xf>
    <xf numFmtId="165" fontId="3" fillId="0" borderId="7" xfId="5" quotePrefix="1" applyNumberFormat="1" applyFont="1" applyBorder="1" applyAlignment="1">
      <alignment horizontal="left"/>
    </xf>
    <xf numFmtId="165" fontId="3" fillId="0" borderId="0" xfId="5" quotePrefix="1" applyNumberFormat="1" applyFont="1" applyAlignment="1">
      <alignment horizontal="left"/>
    </xf>
    <xf numFmtId="165" fontId="3" fillId="0" borderId="8" xfId="5" quotePrefix="1" applyNumberFormat="1" applyFont="1" applyBorder="1" applyAlignment="1">
      <alignment horizontal="left"/>
    </xf>
    <xf numFmtId="165" fontId="7" fillId="0" borderId="7" xfId="5" quotePrefix="1" applyNumberFormat="1" applyFont="1" applyBorder="1" applyAlignment="1">
      <alignment horizontal="left"/>
    </xf>
    <xf numFmtId="165" fontId="7" fillId="0" borderId="11" xfId="5" applyNumberFormat="1" applyFont="1" applyBorder="1" applyAlignment="1">
      <alignment horizontal="right"/>
    </xf>
    <xf numFmtId="165" fontId="7" fillId="0" borderId="5" xfId="5" applyNumberFormat="1" applyFont="1" applyBorder="1" applyAlignment="1">
      <alignment horizontal="right"/>
    </xf>
    <xf numFmtId="165" fontId="7" fillId="0" borderId="1" xfId="5" applyNumberFormat="1" applyFont="1" applyBorder="1" applyAlignment="1">
      <alignment horizontal="right"/>
    </xf>
    <xf numFmtId="165" fontId="7" fillId="0" borderId="6" xfId="5" applyNumberFormat="1" applyFont="1" applyBorder="1" applyAlignment="1">
      <alignment horizontal="right"/>
    </xf>
    <xf numFmtId="165" fontId="7" fillId="0" borderId="8" xfId="5" applyNumberFormat="1" applyFont="1" applyBorder="1" applyAlignment="1">
      <alignment horizontal="right"/>
    </xf>
    <xf numFmtId="165" fontId="7" fillId="0" borderId="7" xfId="5" applyNumberFormat="1" applyFont="1" applyBorder="1" applyAlignment="1">
      <alignment horizontal="right"/>
    </xf>
    <xf numFmtId="165" fontId="7" fillId="0" borderId="0" xfId="5" applyNumberFormat="1" applyFont="1" applyAlignment="1">
      <alignment horizontal="right"/>
    </xf>
    <xf numFmtId="165" fontId="7" fillId="0" borderId="2" xfId="5" applyNumberFormat="1" applyFont="1" applyBorder="1" applyAlignment="1">
      <alignment horizontal="right"/>
    </xf>
    <xf numFmtId="165" fontId="7" fillId="0" borderId="7" xfId="5" applyNumberFormat="1" applyFont="1" applyBorder="1"/>
    <xf numFmtId="164" fontId="7" fillId="0" borderId="0" xfId="6" applyNumberFormat="1" applyFont="1"/>
    <xf numFmtId="165" fontId="7" fillId="0" borderId="0" xfId="5" applyNumberFormat="1" applyFont="1"/>
    <xf numFmtId="165" fontId="7" fillId="0" borderId="0" xfId="5" applyNumberFormat="1" applyFont="1" applyBorder="1"/>
    <xf numFmtId="164" fontId="7" fillId="0" borderId="0" xfId="6" applyNumberFormat="1" applyFont="1" applyBorder="1"/>
    <xf numFmtId="165" fontId="3" fillId="0" borderId="5" xfId="5" applyNumberFormat="1" applyFont="1" applyBorder="1" applyAlignment="1">
      <alignment horizontal="center"/>
    </xf>
    <xf numFmtId="165" fontId="3" fillId="0" borderId="1" xfId="5" applyNumberFormat="1" applyFont="1" applyBorder="1" applyAlignment="1">
      <alignment horizontal="center"/>
    </xf>
    <xf numFmtId="0" fontId="3" fillId="0" borderId="3" xfId="0" applyFont="1" applyBorder="1"/>
    <xf numFmtId="0" fontId="3" fillId="0" borderId="5" xfId="0" applyFont="1" applyBorder="1"/>
    <xf numFmtId="3" fontId="3" fillId="0" borderId="2" xfId="0" applyNumberFormat="1" applyFont="1" applyBorder="1"/>
    <xf numFmtId="3" fontId="7" fillId="0" borderId="0" xfId="0" applyNumberFormat="1" applyFont="1" applyAlignment="1">
      <alignment horizontal="center"/>
    </xf>
    <xf numFmtId="3" fontId="8" fillId="0" borderId="0" xfId="0" applyNumberFormat="1" applyFont="1" applyAlignment="1">
      <alignment horizontal="center"/>
    </xf>
    <xf numFmtId="3" fontId="8" fillId="0" borderId="0" xfId="0" applyNumberFormat="1" applyFont="1"/>
    <xf numFmtId="3" fontId="7" fillId="0" borderId="0" xfId="0" applyNumberFormat="1" applyFont="1"/>
    <xf numFmtId="3" fontId="3" fillId="0" borderId="1" xfId="0" applyNumberFormat="1" applyFont="1" applyBorder="1"/>
    <xf numFmtId="44" fontId="10" fillId="0" borderId="0" xfId="0" applyNumberFormat="1" applyFont="1" applyAlignment="1">
      <alignment horizontal="center"/>
    </xf>
    <xf numFmtId="168" fontId="3" fillId="0" borderId="0" xfId="0" applyNumberFormat="1" applyFont="1" applyAlignment="1">
      <alignment horizontal="center"/>
    </xf>
    <xf numFmtId="167" fontId="3" fillId="0" borderId="0" xfId="5" applyNumberFormat="1" applyFont="1" applyAlignment="1"/>
    <xf numFmtId="167" fontId="3" fillId="0" borderId="2" xfId="5" applyNumberFormat="1" applyFont="1" applyBorder="1"/>
    <xf numFmtId="167" fontId="3" fillId="0" borderId="0" xfId="5" applyNumberFormat="1" applyFont="1" applyBorder="1" applyAlignment="1"/>
    <xf numFmtId="167" fontId="3" fillId="0" borderId="0" xfId="5" applyNumberFormat="1" applyFont="1" applyBorder="1" applyAlignment="1">
      <alignment horizontal="center"/>
    </xf>
    <xf numFmtId="170" fontId="3" fillId="0" borderId="0" xfId="0" applyNumberFormat="1" applyFont="1"/>
    <xf numFmtId="169" fontId="7" fillId="0" borderId="0" xfId="0" applyNumberFormat="1" applyFont="1"/>
    <xf numFmtId="3" fontId="3" fillId="0" borderId="4" xfId="0" applyNumberFormat="1" applyFont="1" applyBorder="1"/>
    <xf numFmtId="3" fontId="3" fillId="0" borderId="8" xfId="0" applyNumberFormat="1" applyFont="1" applyBorder="1"/>
    <xf numFmtId="3" fontId="3" fillId="0" borderId="6" xfId="0" applyNumberFormat="1" applyFont="1" applyBorder="1"/>
    <xf numFmtId="3" fontId="3" fillId="0" borderId="7" xfId="0" applyNumberFormat="1" applyFont="1" applyBorder="1"/>
    <xf numFmtId="4" fontId="3" fillId="0" borderId="7" xfId="0" applyNumberFormat="1" applyFont="1" applyBorder="1"/>
    <xf numFmtId="0" fontId="0" fillId="0" borderId="0" xfId="0" applyAlignment="1">
      <alignment vertical="top"/>
    </xf>
    <xf numFmtId="3" fontId="0" fillId="0" borderId="0" xfId="0" applyNumberFormat="1" applyAlignment="1">
      <alignment vertical="top"/>
    </xf>
    <xf numFmtId="165" fontId="7" fillId="0" borderId="0" xfId="5" applyNumberFormat="1" applyFont="1" applyBorder="1" applyAlignment="1">
      <alignment vertical="center"/>
    </xf>
    <xf numFmtId="0" fontId="3" fillId="0" borderId="0" xfId="0" applyFont="1" applyAlignment="1">
      <alignment vertical="top"/>
    </xf>
    <xf numFmtId="0" fontId="3" fillId="0" borderId="0" xfId="0" applyFont="1" applyAlignment="1">
      <alignment horizontal="center" vertical="top"/>
    </xf>
    <xf numFmtId="0" fontId="20" fillId="0" borderId="0" xfId="0" applyFont="1"/>
    <xf numFmtId="165" fontId="20" fillId="0" borderId="0" xfId="1" applyNumberFormat="1" applyFont="1"/>
    <xf numFmtId="43" fontId="3" fillId="0" borderId="0" xfId="1" applyFont="1" applyAlignment="1">
      <alignment horizontal="right"/>
    </xf>
    <xf numFmtId="10" fontId="3" fillId="0" borderId="1" xfId="3" applyNumberFormat="1" applyFont="1" applyBorder="1"/>
    <xf numFmtId="0" fontId="3" fillId="0" borderId="0" xfId="0" applyFont="1" applyAlignment="1">
      <alignment horizontal="left"/>
    </xf>
    <xf numFmtId="37" fontId="3" fillId="0" borderId="0" xfId="0" applyNumberFormat="1" applyFont="1" applyAlignment="1">
      <alignment horizontal="center"/>
    </xf>
    <xf numFmtId="165" fontId="3" fillId="0" borderId="0" xfId="1" applyNumberFormat="1" applyFont="1" applyBorder="1" applyAlignment="1"/>
    <xf numFmtId="164" fontId="3" fillId="0" borderId="0" xfId="6" applyNumberFormat="1" applyFont="1" applyBorder="1"/>
    <xf numFmtId="164" fontId="3" fillId="0" borderId="0" xfId="0" applyNumberFormat="1" applyFont="1"/>
    <xf numFmtId="164" fontId="0" fillId="0" borderId="0" xfId="0" applyNumberFormat="1" applyAlignment="1">
      <alignment vertical="top"/>
    </xf>
    <xf numFmtId="10" fontId="0" fillId="0" borderId="0" xfId="3" applyNumberFormat="1" applyFont="1" applyBorder="1" applyAlignment="1">
      <alignment vertical="top"/>
    </xf>
    <xf numFmtId="164" fontId="3" fillId="0" borderId="0" xfId="2" applyNumberFormat="1" applyFont="1" applyBorder="1" applyAlignment="1"/>
    <xf numFmtId="3" fontId="3" fillId="0" borderId="0" xfId="0" applyNumberFormat="1" applyFont="1" applyAlignment="1">
      <alignment horizontal="left"/>
    </xf>
    <xf numFmtId="37" fontId="3" fillId="0" borderId="0" xfId="0" applyNumberFormat="1" applyFont="1" applyAlignment="1">
      <alignment horizontal="center" wrapText="1"/>
    </xf>
    <xf numFmtId="37" fontId="3" fillId="0" borderId="0" xfId="0" quotePrefix="1" applyNumberFormat="1" applyFont="1"/>
    <xf numFmtId="37" fontId="3" fillId="0" borderId="0" xfId="0" applyNumberFormat="1" applyFont="1"/>
    <xf numFmtId="0" fontId="7" fillId="0" borderId="0" xfId="0" applyFont="1" applyAlignment="1">
      <alignment horizontal="left"/>
    </xf>
    <xf numFmtId="0" fontId="3" fillId="0" borderId="0" xfId="0" applyFont="1" applyAlignment="1">
      <alignment horizontal="center" wrapText="1"/>
    </xf>
    <xf numFmtId="37" fontId="3" fillId="0" borderId="0" xfId="0" applyNumberFormat="1" applyFont="1" applyAlignment="1">
      <alignment horizontal="right"/>
    </xf>
    <xf numFmtId="165" fontId="3" fillId="0" borderId="0" xfId="5" applyNumberFormat="1" applyFont="1" applyBorder="1" applyAlignment="1">
      <alignment horizontal="right"/>
    </xf>
    <xf numFmtId="165" fontId="3" fillId="0" borderId="0" xfId="0" applyNumberFormat="1" applyFont="1" applyAlignment="1">
      <alignment horizontal="right"/>
    </xf>
    <xf numFmtId="44" fontId="3" fillId="0" borderId="0" xfId="5" applyNumberFormat="1" applyFont="1" applyBorder="1"/>
    <xf numFmtId="3" fontId="3" fillId="0" borderId="0" xfId="0" applyNumberFormat="1" applyFont="1" applyAlignment="1">
      <alignment vertical="top"/>
    </xf>
    <xf numFmtId="44" fontId="3" fillId="0" borderId="0" xfId="0" applyNumberFormat="1" applyFont="1" applyAlignment="1">
      <alignment vertical="top"/>
    </xf>
    <xf numFmtId="164" fontId="9" fillId="0" borderId="0" xfId="2" applyNumberFormat="1" applyFont="1" applyBorder="1" applyAlignment="1"/>
    <xf numFmtId="165" fontId="3" fillId="0" borderId="0" xfId="1" applyNumberFormat="1" applyFont="1" applyFill="1" applyAlignment="1">
      <alignment vertical="center"/>
    </xf>
    <xf numFmtId="6" fontId="3" fillId="0" borderId="0" xfId="0" applyNumberFormat="1" applyFont="1"/>
    <xf numFmtId="9" fontId="3" fillId="0" borderId="0" xfId="0" applyNumberFormat="1" applyFont="1"/>
    <xf numFmtId="0" fontId="3" fillId="0" borderId="0" xfId="0" quotePrefix="1" applyFont="1"/>
    <xf numFmtId="3" fontId="3" fillId="0" borderId="2" xfId="0" applyNumberFormat="1" applyFont="1" applyBorder="1" applyAlignment="1">
      <alignment horizontal="right"/>
    </xf>
    <xf numFmtId="3" fontId="8" fillId="0" borderId="0" xfId="0" applyNumberFormat="1" applyFont="1" applyAlignment="1">
      <alignment horizontal="right"/>
    </xf>
    <xf numFmtId="0" fontId="0" fillId="0" borderId="0" xfId="0" applyAlignment="1">
      <alignment horizontal="right"/>
    </xf>
    <xf numFmtId="169" fontId="7" fillId="0" borderId="0" xfId="0" applyNumberFormat="1" applyFont="1" applyAlignment="1">
      <alignment horizontal="right"/>
    </xf>
    <xf numFmtId="167" fontId="3" fillId="0" borderId="1" xfId="5" applyNumberFormat="1" applyFont="1" applyBorder="1" applyAlignment="1">
      <alignment horizontal="right"/>
    </xf>
    <xf numFmtId="167" fontId="3" fillId="0" borderId="0" xfId="5" applyNumberFormat="1" applyFont="1" applyBorder="1" applyAlignment="1">
      <alignment horizontal="right"/>
    </xf>
    <xf numFmtId="164" fontId="3" fillId="0" borderId="0" xfId="0" applyNumberFormat="1" applyFont="1" applyAlignment="1">
      <alignment horizontal="right"/>
    </xf>
    <xf numFmtId="164" fontId="3" fillId="0" borderId="2" xfId="0" applyNumberFormat="1" applyFont="1" applyBorder="1" applyAlignment="1">
      <alignment horizontal="right"/>
    </xf>
    <xf numFmtId="164" fontId="7" fillId="0" borderId="0" xfId="0" applyNumberFormat="1"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164" fontId="3" fillId="0" borderId="0" xfId="5" applyNumberFormat="1" applyFont="1" applyBorder="1" applyAlignment="1">
      <alignment horizontal="right"/>
    </xf>
    <xf numFmtId="164" fontId="3" fillId="0" borderId="1" xfId="0" applyNumberFormat="1" applyFont="1" applyBorder="1" applyAlignment="1">
      <alignment horizontal="right"/>
    </xf>
    <xf numFmtId="164" fontId="9" fillId="0" borderId="0" xfId="0" applyNumberFormat="1" applyFont="1" applyAlignment="1">
      <alignment horizontal="right"/>
    </xf>
    <xf numFmtId="10" fontId="3" fillId="0" borderId="0" xfId="3" applyNumberFormat="1" applyFont="1" applyBorder="1" applyAlignment="1"/>
    <xf numFmtId="43" fontId="3" fillId="0" borderId="0" xfId="1" applyFont="1" applyBorder="1" applyAlignment="1">
      <alignment vertical="center"/>
    </xf>
    <xf numFmtId="44" fontId="3" fillId="0" borderId="0" xfId="0" applyNumberFormat="1" applyFont="1"/>
    <xf numFmtId="44" fontId="3" fillId="0" borderId="0" xfId="1" applyNumberFormat="1" applyFont="1" applyBorder="1"/>
    <xf numFmtId="43" fontId="3" fillId="0" borderId="7" xfId="1" applyFont="1" applyBorder="1" applyAlignment="1"/>
    <xf numFmtId="43" fontId="3" fillId="0" borderId="8" xfId="1" applyFont="1" applyBorder="1" applyAlignment="1"/>
    <xf numFmtId="43" fontId="9" fillId="0" borderId="8" xfId="1" applyFont="1" applyBorder="1" applyAlignment="1">
      <alignment horizontal="center"/>
    </xf>
    <xf numFmtId="44" fontId="3" fillId="0" borderId="8" xfId="2" applyFont="1" applyBorder="1" applyAlignment="1"/>
    <xf numFmtId="44" fontId="3" fillId="0" borderId="1" xfId="1" applyNumberFormat="1" applyFont="1" applyBorder="1" applyAlignment="1"/>
    <xf numFmtId="43" fontId="3" fillId="0" borderId="1" xfId="1" applyFont="1" applyBorder="1" applyAlignment="1"/>
    <xf numFmtId="43" fontId="3" fillId="0" borderId="6" xfId="1" applyFont="1" applyBorder="1" applyAlignment="1"/>
    <xf numFmtId="44" fontId="3" fillId="0" borderId="0" xfId="2" applyFont="1" applyBorder="1" applyAlignment="1">
      <alignment horizontal="center"/>
    </xf>
    <xf numFmtId="10" fontId="3" fillId="0" borderId="0" xfId="3" applyNumberFormat="1" applyFont="1" applyBorder="1" applyAlignment="1">
      <alignment horizontal="center"/>
    </xf>
    <xf numFmtId="44" fontId="3" fillId="0" borderId="1" xfId="2" applyFont="1" applyBorder="1" applyAlignment="1">
      <alignment horizontal="center"/>
    </xf>
    <xf numFmtId="10" fontId="3" fillId="0" borderId="1" xfId="3" applyNumberFormat="1" applyFont="1" applyBorder="1" applyAlignment="1">
      <alignment horizontal="center"/>
    </xf>
    <xf numFmtId="164" fontId="3" fillId="0" borderId="0" xfId="2" applyNumberFormat="1" applyFont="1"/>
    <xf numFmtId="10" fontId="3" fillId="0" borderId="0" xfId="1" applyNumberFormat="1" applyFont="1"/>
    <xf numFmtId="10" fontId="3" fillId="0" borderId="0" xfId="1" applyNumberFormat="1" applyFont="1" applyBorder="1"/>
    <xf numFmtId="44" fontId="9" fillId="0" borderId="0" xfId="0" applyNumberFormat="1" applyFont="1"/>
    <xf numFmtId="44" fontId="3" fillId="0" borderId="0" xfId="1" applyNumberFormat="1" applyFont="1" applyBorder="1" applyAlignment="1"/>
    <xf numFmtId="44" fontId="3" fillId="0" borderId="0" xfId="2" applyFont="1"/>
    <xf numFmtId="165" fontId="3" fillId="0" borderId="0" xfId="5" applyNumberFormat="1" applyFont="1" applyBorder="1" applyAlignment="1">
      <alignment horizontal="center" vertical="center"/>
    </xf>
    <xf numFmtId="165" fontId="3" fillId="0" borderId="8" xfId="5" applyNumberFormat="1" applyFont="1" applyBorder="1" applyAlignment="1">
      <alignment horizontal="center" vertical="center"/>
    </xf>
    <xf numFmtId="164" fontId="9" fillId="0" borderId="0" xfId="2" applyNumberFormat="1" applyFont="1" applyFill="1" applyBorder="1" applyAlignment="1"/>
    <xf numFmtId="10" fontId="3" fillId="0" borderId="0" xfId="3" applyNumberFormat="1" applyFont="1" applyBorder="1" applyAlignment="1">
      <alignment vertical="top"/>
    </xf>
    <xf numFmtId="37" fontId="7" fillId="0" borderId="0" xfId="0" applyNumberFormat="1" applyFont="1" applyAlignment="1">
      <alignment horizontal="right"/>
    </xf>
    <xf numFmtId="0" fontId="7" fillId="0" borderId="0" xfId="0" applyFont="1" applyAlignment="1">
      <alignment horizontal="right"/>
    </xf>
    <xf numFmtId="165" fontId="3" fillId="0" borderId="0" xfId="0" applyNumberFormat="1" applyFont="1" applyAlignment="1">
      <alignment vertical="top"/>
    </xf>
    <xf numFmtId="43" fontId="3" fillId="0" borderId="0" xfId="1" applyFont="1" applyFill="1"/>
    <xf numFmtId="43" fontId="3" fillId="0" borderId="1" xfId="1" applyFont="1" applyFill="1" applyBorder="1"/>
    <xf numFmtId="0" fontId="20" fillId="0" borderId="0" xfId="0" applyFont="1" applyAlignment="1">
      <alignment horizontal="center"/>
    </xf>
    <xf numFmtId="43" fontId="3" fillId="2" borderId="7" xfId="1" applyFont="1" applyFill="1" applyBorder="1"/>
    <xf numFmtId="165" fontId="11" fillId="0" borderId="0" xfId="5" applyNumberFormat="1" applyFont="1" applyBorder="1" applyAlignment="1">
      <alignment horizontal="center" vertical="center"/>
    </xf>
    <xf numFmtId="43" fontId="3" fillId="0" borderId="7" xfId="1" applyFont="1" applyFill="1" applyBorder="1"/>
    <xf numFmtId="165" fontId="3" fillId="0" borderId="7" xfId="5" applyNumberFormat="1" applyFont="1" applyBorder="1" applyAlignment="1">
      <alignment horizontal="center" vertical="center"/>
    </xf>
    <xf numFmtId="165" fontId="22" fillId="0" borderId="0" xfId="1" applyNumberFormat="1" applyFont="1" applyAlignment="1">
      <alignment horizontal="centerContinuous" vertical="center"/>
    </xf>
    <xf numFmtId="165" fontId="4" fillId="0" borderId="0" xfId="1" applyNumberFormat="1" applyFont="1" applyAlignment="1">
      <alignment horizontal="centerContinuous" vertical="center"/>
    </xf>
    <xf numFmtId="165" fontId="3" fillId="3" borderId="0" xfId="1" applyNumberFormat="1" applyFont="1" applyFill="1" applyAlignment="1">
      <alignment vertical="center"/>
    </xf>
    <xf numFmtId="1" fontId="3" fillId="0" borderId="0" xfId="1" applyNumberFormat="1" applyFont="1" applyAlignment="1">
      <alignment horizontal="center"/>
    </xf>
    <xf numFmtId="43" fontId="3" fillId="0" borderId="0" xfId="1" applyFont="1" applyAlignment="1">
      <alignment horizontal="center"/>
    </xf>
    <xf numFmtId="4" fontId="3" fillId="0" borderId="0" xfId="0" applyNumberFormat="1" applyFont="1"/>
    <xf numFmtId="43" fontId="3" fillId="0" borderId="0" xfId="0" applyNumberFormat="1" applyFont="1"/>
    <xf numFmtId="165" fontId="9" fillId="3" borderId="0" xfId="1" applyNumberFormat="1" applyFont="1" applyFill="1" applyBorder="1" applyAlignment="1">
      <alignment vertical="center"/>
    </xf>
    <xf numFmtId="0" fontId="0" fillId="0" borderId="0" xfId="0" applyAlignment="1">
      <alignment wrapText="1"/>
    </xf>
    <xf numFmtId="165" fontId="0" fillId="0" borderId="0" xfId="0" applyNumberFormat="1"/>
    <xf numFmtId="172" fontId="6" fillId="0" borderId="0" xfId="1" applyNumberFormat="1" applyFont="1" applyAlignment="1">
      <alignment horizontal="center"/>
    </xf>
    <xf numFmtId="0" fontId="0" fillId="0" borderId="0" xfId="0" applyAlignment="1">
      <alignment horizontal="center" vertical="top"/>
    </xf>
    <xf numFmtId="0" fontId="1" fillId="0" borderId="0" xfId="0" applyFont="1" applyAlignment="1">
      <alignment horizontal="center" vertical="top"/>
    </xf>
    <xf numFmtId="0" fontId="1" fillId="0" borderId="0" xfId="0" applyFont="1" applyAlignment="1">
      <alignment wrapText="1"/>
    </xf>
    <xf numFmtId="0" fontId="1" fillId="0" borderId="0" xfId="0" applyFont="1"/>
    <xf numFmtId="0" fontId="24" fillId="0" borderId="0" xfId="0" applyFont="1" applyAlignment="1">
      <alignment horizontal="center" wrapText="1"/>
    </xf>
    <xf numFmtId="0" fontId="25" fillId="0" borderId="0" xfId="0" applyFont="1" applyAlignment="1">
      <alignment horizontal="center" wrapText="1"/>
    </xf>
    <xf numFmtId="43" fontId="3" fillId="0" borderId="7" xfId="1" quotePrefix="1" applyFont="1" applyFill="1" applyBorder="1"/>
    <xf numFmtId="165" fontId="9" fillId="0" borderId="1" xfId="1" applyNumberFormat="1" applyFont="1" applyBorder="1" applyAlignment="1">
      <alignment vertical="center"/>
    </xf>
    <xf numFmtId="165" fontId="9" fillId="0" borderId="0" xfId="0" applyNumberFormat="1" applyFont="1"/>
    <xf numFmtId="44" fontId="9" fillId="0" borderId="0" xfId="2" applyFont="1" applyBorder="1" applyAlignment="1"/>
    <xf numFmtId="0" fontId="1" fillId="0" borderId="0" xfId="0" applyFont="1" applyAlignment="1">
      <alignment vertical="top"/>
    </xf>
    <xf numFmtId="165" fontId="3" fillId="0" borderId="0" xfId="1" quotePrefix="1" applyNumberFormat="1" applyFont="1" applyAlignment="1">
      <alignment horizontal="center" vertical="center"/>
    </xf>
    <xf numFmtId="44" fontId="0" fillId="0" borderId="0" xfId="2" applyFont="1"/>
    <xf numFmtId="0" fontId="3" fillId="4" borderId="0" xfId="0" applyFont="1" applyFill="1"/>
    <xf numFmtId="164" fontId="3" fillId="0" borderId="0" xfId="2" applyNumberFormat="1" applyFont="1" applyFill="1"/>
    <xf numFmtId="165" fontId="3" fillId="0" borderId="0" xfId="1" applyNumberFormat="1" applyFont="1" applyFill="1" applyAlignment="1">
      <alignment horizontal="center" vertical="center"/>
    </xf>
    <xf numFmtId="43" fontId="20" fillId="0" borderId="0" xfId="1" applyFont="1"/>
    <xf numFmtId="43" fontId="20" fillId="0" borderId="1" xfId="1" applyFont="1" applyBorder="1"/>
    <xf numFmtId="0" fontId="20" fillId="0" borderId="1" xfId="0" applyFont="1" applyBorder="1"/>
    <xf numFmtId="165" fontId="20" fillId="0" borderId="1" xfId="1" applyNumberFormat="1" applyFont="1" applyBorder="1"/>
    <xf numFmtId="165" fontId="3" fillId="0" borderId="0" xfId="1" applyNumberFormat="1" applyFont="1" applyFill="1"/>
    <xf numFmtId="165" fontId="3" fillId="3" borderId="0" xfId="1" applyNumberFormat="1" applyFont="1" applyFill="1" applyBorder="1" applyAlignment="1">
      <alignment vertical="center"/>
    </xf>
    <xf numFmtId="0" fontId="20" fillId="4" borderId="0" xfId="0" applyFont="1" applyFill="1"/>
    <xf numFmtId="44" fontId="3" fillId="0" borderId="0" xfId="2" applyFont="1" applyFill="1"/>
    <xf numFmtId="0" fontId="3" fillId="0" borderId="1" xfId="0" applyFont="1" applyBorder="1"/>
    <xf numFmtId="43" fontId="3" fillId="0" borderId="1" xfId="1" applyFont="1" applyBorder="1" applyAlignment="1">
      <alignment horizontal="center" wrapText="1"/>
    </xf>
    <xf numFmtId="10" fontId="3" fillId="0" borderId="0" xfId="3" applyNumberFormat="1" applyFont="1"/>
    <xf numFmtId="44" fontId="3" fillId="0" borderId="0" xfId="1" applyNumberFormat="1" applyFont="1" applyBorder="1" applyAlignment="1">
      <alignment horizontal="right"/>
    </xf>
    <xf numFmtId="165" fontId="3" fillId="0" borderId="0" xfId="1" applyNumberFormat="1" applyFont="1" applyBorder="1" applyAlignment="1">
      <alignment horizontal="right"/>
    </xf>
    <xf numFmtId="14" fontId="20" fillId="0" borderId="0" xfId="0" applyNumberFormat="1" applyFont="1" applyAlignment="1">
      <alignment horizontal="center"/>
    </xf>
    <xf numFmtId="165" fontId="9" fillId="0" borderId="0" xfId="1" applyNumberFormat="1" applyFont="1" applyAlignment="1">
      <alignment horizontal="center"/>
    </xf>
    <xf numFmtId="0" fontId="23" fillId="0" borderId="0" xfId="0" applyFont="1"/>
    <xf numFmtId="0" fontId="23" fillId="0" borderId="0" xfId="0" applyFont="1" applyAlignment="1">
      <alignment horizontal="center"/>
    </xf>
    <xf numFmtId="44" fontId="20" fillId="0" borderId="0" xfId="2" applyFont="1" applyFill="1"/>
    <xf numFmtId="165" fontId="20" fillId="0" borderId="0" xfId="0" applyNumberFormat="1" applyFont="1"/>
    <xf numFmtId="171" fontId="20" fillId="0" borderId="0" xfId="0" applyNumberFormat="1" applyFont="1"/>
    <xf numFmtId="171" fontId="23" fillId="0" borderId="0" xfId="0" applyNumberFormat="1" applyFont="1"/>
    <xf numFmtId="164" fontId="3" fillId="0" borderId="0" xfId="5" applyNumberFormat="1" applyFont="1" applyFill="1" applyBorder="1" applyAlignment="1">
      <alignment horizontal="right"/>
    </xf>
    <xf numFmtId="165" fontId="3" fillId="0" borderId="0" xfId="5" applyNumberFormat="1" applyFont="1" applyFill="1" applyBorder="1" applyAlignment="1">
      <alignment horizontal="center"/>
    </xf>
    <xf numFmtId="165" fontId="3" fillId="0" borderId="0" xfId="5" applyNumberFormat="1" applyFont="1" applyFill="1" applyBorder="1" applyAlignment="1">
      <alignment horizontal="right"/>
    </xf>
    <xf numFmtId="167" fontId="3" fillId="0" borderId="0" xfId="5" applyNumberFormat="1" applyFont="1" applyFill="1" applyBorder="1" applyAlignment="1"/>
    <xf numFmtId="167" fontId="3" fillId="0" borderId="0" xfId="5" applyNumberFormat="1" applyFont="1" applyFill="1" applyBorder="1" applyAlignment="1">
      <alignment horizontal="center"/>
    </xf>
    <xf numFmtId="167" fontId="3" fillId="0" borderId="0" xfId="5" quotePrefix="1" applyNumberFormat="1" applyFont="1" applyFill="1" applyBorder="1" applyAlignment="1">
      <alignment horizontal="center"/>
    </xf>
    <xf numFmtId="167" fontId="13" fillId="0" borderId="0" xfId="5" applyNumberFormat="1" applyFont="1" applyFill="1" applyBorder="1" applyAlignment="1"/>
    <xf numFmtId="165" fontId="1" fillId="0" borderId="0" xfId="0" applyNumberFormat="1" applyFont="1"/>
    <xf numFmtId="165" fontId="1" fillId="0" borderId="0" xfId="5" applyNumberFormat="1" applyFont="1"/>
    <xf numFmtId="165" fontId="26" fillId="0" borderId="0" xfId="5" applyNumberFormat="1" applyFont="1"/>
    <xf numFmtId="0" fontId="1" fillId="0" borderId="0" xfId="0" applyFont="1" applyAlignment="1">
      <alignment horizontal="center"/>
    </xf>
    <xf numFmtId="165" fontId="1" fillId="0" borderId="0" xfId="5" applyNumberFormat="1" applyFont="1" applyAlignment="1">
      <alignment horizontal="center"/>
    </xf>
    <xf numFmtId="165" fontId="26" fillId="0" borderId="0" xfId="5" applyNumberFormat="1" applyFont="1" applyFill="1" applyBorder="1"/>
    <xf numFmtId="165" fontId="1" fillId="0" borderId="0" xfId="1" applyNumberFormat="1" applyFont="1"/>
    <xf numFmtId="0" fontId="21" fillId="0" borderId="7" xfId="0" applyFont="1" applyBorder="1" applyAlignment="1">
      <alignment horizontal="center"/>
    </xf>
    <xf numFmtId="0" fontId="21" fillId="0" borderId="0" xfId="0" applyFont="1" applyAlignment="1">
      <alignment horizontal="center"/>
    </xf>
    <xf numFmtId="0" fontId="21" fillId="0" borderId="8" xfId="0" applyFont="1" applyBorder="1" applyAlignment="1">
      <alignment horizontal="center"/>
    </xf>
    <xf numFmtId="165" fontId="3" fillId="0" borderId="2" xfId="1" applyNumberFormat="1" applyFont="1" applyBorder="1" applyAlignment="1">
      <alignment vertical="center"/>
    </xf>
    <xf numFmtId="165" fontId="20" fillId="0" borderId="0" xfId="5" applyNumberFormat="1" applyFont="1"/>
    <xf numFmtId="165" fontId="20" fillId="0" borderId="8" xfId="5" applyNumberFormat="1" applyFont="1" applyBorder="1" applyAlignment="1">
      <alignment horizontal="center"/>
    </xf>
    <xf numFmtId="165" fontId="20" fillId="0" borderId="7" xfId="5" applyNumberFormat="1" applyFont="1" applyBorder="1" applyAlignment="1">
      <alignment horizontal="center"/>
    </xf>
    <xf numFmtId="173" fontId="3" fillId="0" borderId="0" xfId="1" applyNumberFormat="1" applyFont="1" applyBorder="1"/>
    <xf numFmtId="173" fontId="21" fillId="0" borderId="0" xfId="0" applyNumberFormat="1" applyFont="1" applyAlignment="1">
      <alignment horizontal="center"/>
    </xf>
    <xf numFmtId="173" fontId="3" fillId="0" borderId="0" xfId="1" applyNumberFormat="1" applyFont="1" applyBorder="1" applyAlignment="1"/>
    <xf numFmtId="174" fontId="3" fillId="0" borderId="0" xfId="2" applyNumberFormat="1" applyFont="1" applyBorder="1" applyAlignment="1"/>
    <xf numFmtId="174" fontId="3" fillId="0" borderId="0" xfId="2" applyNumberFormat="1" applyFont="1" applyBorder="1"/>
    <xf numFmtId="174" fontId="3" fillId="0" borderId="0" xfId="2" applyNumberFormat="1" applyFont="1" applyBorder="1" applyAlignment="1">
      <alignment vertical="center"/>
    </xf>
    <xf numFmtId="174" fontId="3" fillId="0" borderId="0" xfId="2" applyNumberFormat="1" applyFont="1" applyBorder="1" applyAlignment="1">
      <alignment horizontal="center"/>
    </xf>
    <xf numFmtId="174" fontId="3" fillId="0" borderId="0" xfId="1" applyNumberFormat="1" applyFont="1" applyBorder="1" applyAlignment="1">
      <alignment horizontal="center"/>
    </xf>
    <xf numFmtId="174" fontId="21" fillId="0" borderId="0" xfId="0" applyNumberFormat="1" applyFont="1" applyAlignment="1">
      <alignment horizontal="center"/>
    </xf>
    <xf numFmtId="165" fontId="3" fillId="0" borderId="0" xfId="1" applyNumberFormat="1" applyFont="1" applyFill="1" applyAlignment="1">
      <alignment horizontal="center"/>
    </xf>
    <xf numFmtId="4" fontId="6" fillId="0" borderId="0" xfId="0" applyNumberFormat="1" applyFont="1" applyAlignment="1">
      <alignment horizontal="center"/>
    </xf>
    <xf numFmtId="165" fontId="20" fillId="0" borderId="0" xfId="1" applyNumberFormat="1" applyFont="1" applyBorder="1"/>
    <xf numFmtId="43" fontId="20" fillId="0" borderId="0" xfId="1" applyFont="1" applyBorder="1"/>
    <xf numFmtId="165" fontId="9" fillId="0" borderId="0" xfId="5" applyNumberFormat="1" applyFont="1" applyBorder="1" applyAlignment="1">
      <alignment horizontal="center"/>
    </xf>
    <xf numFmtId="44" fontId="9" fillId="0" borderId="0" xfId="5" applyNumberFormat="1" applyFont="1" applyBorder="1" applyAlignment="1">
      <alignment horizontal="center"/>
    </xf>
    <xf numFmtId="44" fontId="3" fillId="0" borderId="0" xfId="6" applyFont="1" applyBorder="1"/>
    <xf numFmtId="10" fontId="3" fillId="0" borderId="0" xfId="7" applyNumberFormat="1" applyFont="1" applyBorder="1"/>
    <xf numFmtId="165" fontId="9" fillId="0" borderId="0" xfId="5" applyNumberFormat="1" applyFont="1" applyBorder="1"/>
    <xf numFmtId="43" fontId="3" fillId="0" borderId="0" xfId="5" quotePrefix="1" applyFont="1" applyBorder="1" applyAlignment="1">
      <alignment horizontal="center"/>
    </xf>
    <xf numFmtId="166" fontId="3" fillId="0" borderId="0" xfId="7" applyNumberFormat="1" applyFont="1" applyBorder="1"/>
    <xf numFmtId="165" fontId="3" fillId="0" borderId="0" xfId="1" applyNumberFormat="1" applyFont="1" applyAlignment="1">
      <alignment horizontal="left" vertical="center"/>
    </xf>
    <xf numFmtId="165" fontId="3" fillId="0" borderId="0" xfId="1" applyNumberFormat="1" applyFont="1" applyFill="1" applyBorder="1" applyAlignment="1">
      <alignment horizontal="center" vertical="center"/>
    </xf>
    <xf numFmtId="165" fontId="3" fillId="0" borderId="10" xfId="5" applyNumberFormat="1" applyFont="1" applyFill="1" applyBorder="1"/>
    <xf numFmtId="165" fontId="3" fillId="0" borderId="10" xfId="5" applyNumberFormat="1" applyFont="1" applyFill="1" applyBorder="1" applyAlignment="1">
      <alignment horizontal="left"/>
    </xf>
    <xf numFmtId="43" fontId="0" fillId="0" borderId="0" xfId="1" applyFont="1" applyAlignment="1">
      <alignment vertical="top"/>
    </xf>
    <xf numFmtId="43" fontId="0" fillId="0" borderId="1" xfId="1" applyFont="1" applyBorder="1" applyAlignment="1">
      <alignment vertical="top"/>
    </xf>
    <xf numFmtId="44" fontId="3" fillId="2" borderId="7" xfId="1" applyNumberFormat="1" applyFont="1" applyFill="1" applyBorder="1"/>
    <xf numFmtId="44" fontId="3" fillId="0" borderId="7" xfId="1" applyNumberFormat="1" applyFont="1" applyFill="1" applyBorder="1"/>
    <xf numFmtId="44" fontId="3" fillId="0" borderId="7" xfId="1" quotePrefix="1" applyNumberFormat="1" applyFont="1" applyFill="1" applyBorder="1"/>
    <xf numFmtId="0" fontId="5" fillId="0" borderId="0" xfId="0" applyFont="1" applyAlignment="1">
      <alignment horizontal="center"/>
    </xf>
    <xf numFmtId="43" fontId="3" fillId="0" borderId="0" xfId="1" applyFont="1" applyFill="1" applyBorder="1"/>
    <xf numFmtId="10" fontId="3" fillId="0" borderId="0" xfId="3" applyNumberFormat="1" applyFont="1" applyFill="1" applyBorder="1"/>
    <xf numFmtId="3" fontId="5" fillId="0" borderId="0" xfId="0" applyNumberFormat="1" applyFont="1" applyAlignment="1">
      <alignment horizontal="center" vertical="center"/>
    </xf>
    <xf numFmtId="43" fontId="3" fillId="0" borderId="0" xfId="5" applyFont="1" applyBorder="1"/>
    <xf numFmtId="166" fontId="3" fillId="0" borderId="0" xfId="7" applyNumberFormat="1" applyFont="1" applyFill="1" applyBorder="1"/>
    <xf numFmtId="165" fontId="3" fillId="0" borderId="0" xfId="5" quotePrefix="1" applyNumberFormat="1" applyFont="1" applyBorder="1"/>
    <xf numFmtId="165" fontId="3" fillId="0" borderId="0" xfId="5" applyNumberFormat="1" applyFont="1" applyFill="1" applyBorder="1"/>
    <xf numFmtId="43" fontId="3" fillId="0" borderId="0" xfId="5" quotePrefix="1" applyFont="1" applyFill="1" applyBorder="1" applyAlignment="1">
      <alignment horizontal="center"/>
    </xf>
    <xf numFmtId="44" fontId="3" fillId="0" borderId="0" xfId="5" applyNumberFormat="1" applyFont="1" applyFill="1" applyBorder="1"/>
    <xf numFmtId="10" fontId="3" fillId="0" borderId="0" xfId="7" applyNumberFormat="1" applyFont="1" applyFill="1" applyBorder="1"/>
    <xf numFmtId="44" fontId="3" fillId="0" borderId="0" xfId="6" applyFont="1" applyFill="1" applyBorder="1"/>
    <xf numFmtId="165" fontId="6" fillId="0" borderId="0" xfId="1" applyNumberFormat="1" applyFont="1" applyAlignment="1">
      <alignment horizontal="right"/>
    </xf>
    <xf numFmtId="44" fontId="3" fillId="0" borderId="2" xfId="0" applyNumberFormat="1" applyFont="1" applyBorder="1"/>
    <xf numFmtId="10" fontId="3" fillId="0" borderId="2" xfId="0" applyNumberFormat="1" applyFont="1" applyBorder="1"/>
    <xf numFmtId="165" fontId="4" fillId="0" borderId="0" xfId="1" applyNumberFormat="1" applyFont="1" applyAlignment="1">
      <alignment horizontal="center" vertical="center"/>
    </xf>
    <xf numFmtId="3" fontId="4" fillId="0" borderId="0" xfId="0" applyNumberFormat="1" applyFont="1" applyAlignment="1">
      <alignment horizontal="center"/>
    </xf>
    <xf numFmtId="3" fontId="5" fillId="0" borderId="0" xfId="0" applyNumberFormat="1" applyFont="1" applyAlignment="1">
      <alignment horizontal="center"/>
    </xf>
    <xf numFmtId="3" fontId="11" fillId="0" borderId="0" xfId="0" applyNumberFormat="1" applyFont="1" applyAlignment="1">
      <alignment horizontal="center" vertical="center"/>
    </xf>
    <xf numFmtId="167" fontId="8" fillId="0" borderId="0" xfId="5" applyNumberFormat="1" applyFont="1" applyBorder="1" applyAlignment="1">
      <alignment horizontal="center"/>
    </xf>
    <xf numFmtId="165" fontId="10" fillId="0" borderId="7" xfId="5" applyNumberFormat="1" applyFont="1" applyBorder="1" applyAlignment="1">
      <alignment horizontal="center" vertical="center"/>
    </xf>
    <xf numFmtId="165" fontId="10" fillId="0" borderId="8" xfId="5" applyNumberFormat="1" applyFont="1" applyBorder="1" applyAlignment="1">
      <alignment horizontal="center" vertical="center"/>
    </xf>
    <xf numFmtId="43" fontId="6" fillId="0" borderId="7" xfId="1" applyFont="1" applyBorder="1" applyAlignment="1">
      <alignment horizontal="right"/>
    </xf>
    <xf numFmtId="43" fontId="6" fillId="0" borderId="0" xfId="1" applyFont="1" applyBorder="1" applyAlignment="1">
      <alignment horizontal="right"/>
    </xf>
    <xf numFmtId="43" fontId="6" fillId="0" borderId="5" xfId="1" applyFont="1" applyBorder="1" applyAlignment="1">
      <alignment horizontal="right"/>
    </xf>
    <xf numFmtId="43" fontId="6" fillId="0" borderId="1" xfId="1" applyFont="1" applyBorder="1" applyAlignment="1">
      <alignment horizontal="right"/>
    </xf>
    <xf numFmtId="43" fontId="4" fillId="0" borderId="3" xfId="1" applyFont="1" applyBorder="1" applyAlignment="1">
      <alignment horizontal="center"/>
    </xf>
    <xf numFmtId="43" fontId="4" fillId="0" borderId="2" xfId="1" applyFont="1" applyBorder="1" applyAlignment="1">
      <alignment horizontal="center"/>
    </xf>
    <xf numFmtId="43" fontId="4" fillId="0" borderId="4" xfId="1" applyFont="1" applyBorder="1" applyAlignment="1">
      <alignment horizontal="center"/>
    </xf>
    <xf numFmtId="3" fontId="18" fillId="0" borderId="3" xfId="0" applyNumberFormat="1" applyFont="1" applyBorder="1" applyAlignment="1">
      <alignment horizontal="center"/>
    </xf>
    <xf numFmtId="3" fontId="18" fillId="0" borderId="2" xfId="0" applyNumberFormat="1" applyFont="1" applyBorder="1" applyAlignment="1">
      <alignment horizontal="center"/>
    </xf>
    <xf numFmtId="3" fontId="18" fillId="0" borderId="4" xfId="0" applyNumberFormat="1" applyFont="1" applyBorder="1" applyAlignment="1">
      <alignment horizontal="center"/>
    </xf>
    <xf numFmtId="3" fontId="4" fillId="0" borderId="7" xfId="0" applyNumberFormat="1" applyFont="1" applyBorder="1" applyAlignment="1">
      <alignment horizontal="center" vertical="center"/>
    </xf>
    <xf numFmtId="3" fontId="4" fillId="0" borderId="0" xfId="0" applyNumberFormat="1" applyFont="1" applyAlignment="1">
      <alignment horizontal="center" vertical="center"/>
    </xf>
    <xf numFmtId="3" fontId="4" fillId="0" borderId="8" xfId="0" applyNumberFormat="1" applyFont="1" applyBorder="1" applyAlignment="1">
      <alignment horizontal="center" vertical="center"/>
    </xf>
    <xf numFmtId="43" fontId="6" fillId="0" borderId="7" xfId="1" applyFont="1" applyBorder="1" applyAlignment="1">
      <alignment horizontal="right" wrapText="1"/>
    </xf>
    <xf numFmtId="43" fontId="6" fillId="0" borderId="0" xfId="1" applyFont="1" applyBorder="1" applyAlignment="1">
      <alignment horizontal="right" wrapText="1"/>
    </xf>
    <xf numFmtId="44" fontId="21" fillId="0" borderId="3" xfId="2" applyFont="1" applyBorder="1" applyAlignment="1">
      <alignment horizontal="center"/>
    </xf>
    <xf numFmtId="44" fontId="21" fillId="0" borderId="2" xfId="2" applyFont="1" applyBorder="1" applyAlignment="1">
      <alignment horizontal="center"/>
    </xf>
    <xf numFmtId="44" fontId="21" fillId="0" borderId="4" xfId="2" applyFont="1" applyBorder="1" applyAlignment="1">
      <alignment horizontal="center"/>
    </xf>
    <xf numFmtId="43" fontId="4" fillId="0" borderId="7" xfId="1" applyFont="1" applyBorder="1" applyAlignment="1">
      <alignment horizontal="center"/>
    </xf>
    <xf numFmtId="43" fontId="4" fillId="0" borderId="0" xfId="1" applyFont="1" applyBorder="1" applyAlignment="1">
      <alignment horizontal="center"/>
    </xf>
    <xf numFmtId="43" fontId="4" fillId="0" borderId="8" xfId="1" applyFont="1" applyBorder="1" applyAlignment="1">
      <alignment horizontal="center"/>
    </xf>
    <xf numFmtId="43" fontId="3" fillId="0" borderId="7" xfId="1" applyFont="1" applyBorder="1" applyAlignment="1">
      <alignment horizontal="center"/>
    </xf>
    <xf numFmtId="43" fontId="3" fillId="0" borderId="0" xfId="1" applyFont="1" applyBorder="1" applyAlignment="1">
      <alignment horizontal="center"/>
    </xf>
    <xf numFmtId="43" fontId="3" fillId="0" borderId="8" xfId="1" applyFont="1" applyBorder="1" applyAlignment="1">
      <alignment horizontal="center"/>
    </xf>
    <xf numFmtId="165" fontId="4" fillId="0" borderId="7" xfId="1" applyNumberFormat="1" applyFont="1" applyBorder="1" applyAlignment="1">
      <alignment horizontal="center"/>
    </xf>
    <xf numFmtId="165" fontId="4" fillId="0" borderId="0" xfId="1" applyNumberFormat="1" applyFont="1" applyBorder="1" applyAlignment="1">
      <alignment horizontal="center"/>
    </xf>
    <xf numFmtId="165" fontId="4" fillId="0" borderId="8" xfId="1" applyNumberFormat="1" applyFont="1" applyBorder="1" applyAlignment="1">
      <alignment horizontal="center"/>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3" fontId="11" fillId="0" borderId="7" xfId="0" applyNumberFormat="1" applyFont="1" applyBorder="1" applyAlignment="1">
      <alignment horizontal="center" vertical="center"/>
    </xf>
    <xf numFmtId="3" fontId="11" fillId="0" borderId="8" xfId="0" applyNumberFormat="1" applyFont="1" applyBorder="1" applyAlignment="1">
      <alignment horizontal="center" vertical="center"/>
    </xf>
    <xf numFmtId="165" fontId="4" fillId="0" borderId="0" xfId="5" applyNumberFormat="1" applyFont="1" applyBorder="1" applyAlignment="1">
      <alignment horizontal="center"/>
    </xf>
    <xf numFmtId="3" fontId="5" fillId="0" borderId="0" xfId="0" applyNumberFormat="1" applyFont="1" applyAlignment="1">
      <alignment horizontal="center" vertical="center"/>
    </xf>
    <xf numFmtId="0" fontId="17" fillId="0" borderId="0" xfId="0" applyFont="1" applyAlignment="1">
      <alignment horizontal="center"/>
    </xf>
    <xf numFmtId="165" fontId="11" fillId="0" borderId="0" xfId="5" applyNumberFormat="1" applyFont="1" applyBorder="1" applyAlignment="1">
      <alignment horizontal="center" vertical="center"/>
    </xf>
  </cellXfs>
  <cellStyles count="11">
    <cellStyle name="Comma" xfId="1" builtinId="3"/>
    <cellStyle name="Comma 2" xfId="5" xr:uid="{00000000-0005-0000-0000-000001000000}"/>
    <cellStyle name="Comma 3" xfId="9" xr:uid="{00000000-0005-0000-0000-000002000000}"/>
    <cellStyle name="Currency" xfId="2" builtinId="4"/>
    <cellStyle name="Currency 2" xfId="6" xr:uid="{00000000-0005-0000-0000-000004000000}"/>
    <cellStyle name="Currency 3" xfId="10" xr:uid="{00000000-0005-0000-0000-000005000000}"/>
    <cellStyle name="Normal" xfId="0" builtinId="0"/>
    <cellStyle name="Normal 2" xfId="4" xr:uid="{00000000-0005-0000-0000-000007000000}"/>
    <cellStyle name="Normal 3" xfId="8" xr:uid="{00000000-0005-0000-0000-000008000000}"/>
    <cellStyle name="Percent" xfId="3" builtinId="5"/>
    <cellStyle name="Percent 2" xfId="7" xr:uid="{00000000-0005-0000-0000-00000A00000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N102"/>
  <sheetViews>
    <sheetView showGridLines="0" tabSelected="1" workbookViewId="0">
      <selection activeCell="C3" sqref="C3"/>
    </sheetView>
  </sheetViews>
  <sheetFormatPr defaultColWidth="8.765625" defaultRowHeight="14.5" x14ac:dyDescent="0.35"/>
  <cols>
    <col min="1" max="1" width="3.69140625" style="7" customWidth="1"/>
    <col min="2" max="2" width="2.69140625" style="7" customWidth="1"/>
    <col min="3" max="3" width="34.3828125" style="7" customWidth="1"/>
    <col min="4" max="4" width="11.3046875" style="7" customWidth="1"/>
    <col min="5" max="5" width="11.53515625" style="7" customWidth="1"/>
    <col min="6" max="6" width="8.4609375" style="7" customWidth="1"/>
    <col min="7" max="7" width="11.53515625" style="7" customWidth="1"/>
    <col min="8" max="8" width="3.53515625" style="7" customWidth="1"/>
    <col min="9" max="9" width="16.53515625" style="7" customWidth="1"/>
    <col min="10" max="11" width="11.3046875" style="7" customWidth="1"/>
    <col min="12" max="12" width="10.84375" style="7" customWidth="1"/>
    <col min="13" max="13" width="10" style="7" customWidth="1"/>
    <col min="14" max="16384" width="8.765625" style="7"/>
  </cols>
  <sheetData>
    <row r="1" spans="1:14" ht="18.5" x14ac:dyDescent="0.35">
      <c r="A1" s="343"/>
      <c r="B1" s="343"/>
      <c r="C1" s="343"/>
      <c r="D1" s="343"/>
      <c r="E1" s="343"/>
      <c r="F1" s="343"/>
      <c r="G1" s="343"/>
    </row>
    <row r="2" spans="1:14" ht="18.5" x14ac:dyDescent="0.35">
      <c r="A2" s="343" t="s">
        <v>25</v>
      </c>
      <c r="B2" s="343"/>
      <c r="C2" s="343"/>
      <c r="D2" s="343"/>
      <c r="E2" s="343"/>
      <c r="F2" s="343"/>
      <c r="G2" s="343"/>
      <c r="H2" s="57"/>
      <c r="I2" s="57"/>
      <c r="J2" s="57"/>
      <c r="K2" s="57"/>
    </row>
    <row r="3" spans="1:14" ht="18.5" x14ac:dyDescent="0.35">
      <c r="A3" s="231" t="s">
        <v>217</v>
      </c>
      <c r="B3" s="56"/>
      <c r="C3" s="56"/>
      <c r="D3" s="230"/>
      <c r="E3" s="56"/>
      <c r="F3" s="56"/>
      <c r="G3" s="56"/>
      <c r="H3" s="57"/>
      <c r="I3" s="57"/>
      <c r="J3" s="57"/>
      <c r="K3" s="57"/>
      <c r="L3" s="57"/>
    </row>
    <row r="4" spans="1:14" x14ac:dyDescent="0.35">
      <c r="A4" s="50"/>
      <c r="B4" s="56"/>
      <c r="C4" s="56"/>
      <c r="D4" s="252" t="s">
        <v>232</v>
      </c>
      <c r="E4" s="56"/>
      <c r="F4" s="56"/>
      <c r="G4" s="56"/>
      <c r="H4" s="57"/>
      <c r="I4" s="57"/>
      <c r="J4" s="57"/>
      <c r="K4" s="57"/>
    </row>
    <row r="5" spans="1:14" ht="16" x14ac:dyDescent="0.35">
      <c r="A5" s="57"/>
      <c r="B5" s="57"/>
      <c r="C5" s="57"/>
      <c r="D5" s="58" t="s">
        <v>26</v>
      </c>
      <c r="E5" s="58" t="s">
        <v>27</v>
      </c>
      <c r="F5" s="58" t="s">
        <v>28</v>
      </c>
      <c r="G5" s="58" t="s">
        <v>29</v>
      </c>
      <c r="H5" s="57"/>
      <c r="I5" s="71" t="s">
        <v>33</v>
      </c>
      <c r="J5" s="57"/>
      <c r="K5" s="57"/>
    </row>
    <row r="6" spans="1:14" x14ac:dyDescent="0.35">
      <c r="A6" s="59" t="s">
        <v>13</v>
      </c>
      <c r="B6" s="57"/>
      <c r="C6" s="57"/>
      <c r="D6" s="57"/>
      <c r="F6" s="57"/>
      <c r="G6" s="57"/>
      <c r="H6" s="57"/>
      <c r="J6" s="57"/>
      <c r="K6" s="57"/>
    </row>
    <row r="7" spans="1:14" x14ac:dyDescent="0.35">
      <c r="A7" s="57"/>
      <c r="B7" s="57" t="s">
        <v>35</v>
      </c>
      <c r="C7" s="57"/>
      <c r="D7" s="232">
        <v>444032</v>
      </c>
      <c r="E7" s="57">
        <f>ExBA!F11</f>
        <v>-8048.1549999999697</v>
      </c>
      <c r="F7" s="256" t="s">
        <v>195</v>
      </c>
      <c r="G7" s="57"/>
      <c r="H7" s="61"/>
      <c r="I7" s="177" t="s">
        <v>277</v>
      </c>
      <c r="J7" s="57"/>
      <c r="K7" s="57"/>
      <c r="M7" s="7" t="s">
        <v>284</v>
      </c>
      <c r="N7" s="7" t="s">
        <v>283</v>
      </c>
    </row>
    <row r="8" spans="1:14" x14ac:dyDescent="0.35">
      <c r="A8" s="57"/>
      <c r="B8" s="57"/>
      <c r="C8" s="57"/>
      <c r="D8" s="57"/>
      <c r="E8" s="57"/>
      <c r="F8" s="256"/>
      <c r="G8" s="57">
        <f>D7+E7+E8</f>
        <v>435983.84500000003</v>
      </c>
      <c r="H8" s="62"/>
      <c r="I8" s="57"/>
      <c r="J8" s="57"/>
      <c r="K8" s="57"/>
    </row>
    <row r="9" spans="1:14" x14ac:dyDescent="0.35">
      <c r="A9" s="57"/>
      <c r="B9" s="57" t="s">
        <v>14</v>
      </c>
      <c r="C9" s="57"/>
      <c r="D9" s="57"/>
      <c r="E9" s="57"/>
      <c r="F9" s="256"/>
      <c r="G9" s="57"/>
      <c r="H9" s="61"/>
      <c r="I9" s="57"/>
      <c r="J9" s="57"/>
    </row>
    <row r="10" spans="1:14" x14ac:dyDescent="0.35">
      <c r="A10" s="57"/>
      <c r="B10" s="57" t="s">
        <v>15</v>
      </c>
      <c r="C10" s="57"/>
      <c r="D10" s="57"/>
      <c r="E10" s="57"/>
      <c r="F10" s="256"/>
      <c r="G10" s="57"/>
      <c r="H10" s="63"/>
      <c r="I10" s="57"/>
      <c r="J10" s="57"/>
      <c r="K10" s="57"/>
    </row>
    <row r="11" spans="1:14" x14ac:dyDescent="0.35">
      <c r="A11" s="57"/>
      <c r="B11" s="57"/>
      <c r="C11" s="57" t="s">
        <v>34</v>
      </c>
      <c r="D11" s="57"/>
      <c r="E11" s="57"/>
      <c r="F11" s="256"/>
      <c r="G11" s="57">
        <f>D11+E11</f>
        <v>0</v>
      </c>
      <c r="H11" s="61"/>
      <c r="I11" s="57"/>
      <c r="J11" s="57"/>
      <c r="K11" s="57"/>
    </row>
    <row r="12" spans="1:14" x14ac:dyDescent="0.35">
      <c r="A12" s="57"/>
      <c r="C12" s="57" t="s">
        <v>225</v>
      </c>
      <c r="D12" s="177"/>
      <c r="E12" s="57"/>
      <c r="F12" s="256"/>
      <c r="G12" s="57"/>
      <c r="H12" s="61"/>
      <c r="J12" s="57"/>
      <c r="K12" s="57"/>
    </row>
    <row r="13" spans="1:14" ht="16" x14ac:dyDescent="0.35">
      <c r="A13" s="57"/>
      <c r="C13" s="57" t="s">
        <v>57</v>
      </c>
      <c r="D13" s="248">
        <v>3607</v>
      </c>
      <c r="E13" s="57"/>
      <c r="F13" s="256"/>
      <c r="G13" s="79">
        <f>D13+E13</f>
        <v>3607</v>
      </c>
      <c r="H13" s="62"/>
      <c r="I13" s="57"/>
      <c r="J13" s="57"/>
      <c r="K13" s="57"/>
    </row>
    <row r="14" spans="1:14" x14ac:dyDescent="0.35">
      <c r="A14" s="64" t="s">
        <v>16</v>
      </c>
      <c r="B14" s="57"/>
      <c r="C14" s="57"/>
      <c r="D14" s="57">
        <f>SUM(D7:D13)</f>
        <v>447639</v>
      </c>
      <c r="E14" s="57"/>
      <c r="F14" s="256"/>
      <c r="G14" s="57">
        <f>SUM(G7:G13)</f>
        <v>439590.84500000003</v>
      </c>
      <c r="H14" s="63"/>
      <c r="J14" s="57"/>
      <c r="K14" s="57"/>
    </row>
    <row r="15" spans="1:14" x14ac:dyDescent="0.35">
      <c r="A15" s="57"/>
      <c r="B15" s="57"/>
      <c r="C15" s="57"/>
      <c r="D15" s="57"/>
      <c r="E15" s="57"/>
      <c r="F15" s="256"/>
      <c r="G15" s="57"/>
      <c r="H15" s="63"/>
      <c r="I15" s="57"/>
      <c r="J15" s="57"/>
      <c r="K15" s="57"/>
    </row>
    <row r="16" spans="1:14" x14ac:dyDescent="0.35">
      <c r="A16" s="59" t="s">
        <v>17</v>
      </c>
      <c r="B16" s="57"/>
      <c r="C16" s="57"/>
      <c r="D16" s="57"/>
      <c r="E16" s="57"/>
      <c r="F16" s="256"/>
      <c r="G16" s="57"/>
      <c r="H16" s="63"/>
      <c r="I16" s="57"/>
      <c r="J16" s="57"/>
      <c r="K16" s="57"/>
    </row>
    <row r="17" spans="1:14" x14ac:dyDescent="0.35">
      <c r="A17" s="57"/>
      <c r="B17" s="57" t="s">
        <v>30</v>
      </c>
      <c r="C17" s="57"/>
      <c r="D17" s="57"/>
      <c r="E17" s="57"/>
      <c r="F17" s="256"/>
      <c r="G17" s="57"/>
      <c r="H17" s="63"/>
      <c r="I17" s="57"/>
      <c r="J17" s="57"/>
      <c r="K17" s="57"/>
    </row>
    <row r="18" spans="1:14" x14ac:dyDescent="0.35">
      <c r="A18" s="57"/>
      <c r="B18" s="57"/>
      <c r="C18" s="57" t="s">
        <v>2</v>
      </c>
      <c r="D18" s="57">
        <v>40038</v>
      </c>
      <c r="E18" s="177">
        <f>Wages!H26</f>
        <v>7854</v>
      </c>
      <c r="F18" s="308" t="s">
        <v>196</v>
      </c>
      <c r="G18" s="57"/>
      <c r="H18" s="61"/>
      <c r="I18" s="177" t="s">
        <v>182</v>
      </c>
      <c r="J18" s="57"/>
      <c r="K18" s="57"/>
      <c r="M18" s="7" t="s">
        <v>80</v>
      </c>
      <c r="N18" s="7" t="s">
        <v>282</v>
      </c>
    </row>
    <row r="19" spans="1:14" x14ac:dyDescent="0.35">
      <c r="A19" s="57"/>
      <c r="B19" s="57"/>
      <c r="C19" s="57"/>
      <c r="D19" s="57"/>
      <c r="E19" s="177"/>
      <c r="F19" s="308"/>
      <c r="G19" s="57">
        <f>D18+E18+E19</f>
        <v>47892</v>
      </c>
      <c r="H19" s="61"/>
      <c r="I19" s="177"/>
      <c r="J19" s="57"/>
      <c r="K19" s="57"/>
    </row>
    <row r="20" spans="1:14" x14ac:dyDescent="0.35">
      <c r="A20" s="57"/>
      <c r="B20" s="57"/>
      <c r="C20" s="57" t="s">
        <v>3</v>
      </c>
      <c r="D20" s="232">
        <v>12350</v>
      </c>
      <c r="E20" s="177"/>
      <c r="F20" s="256"/>
      <c r="G20" s="57"/>
      <c r="H20" s="61"/>
      <c r="I20" s="261"/>
    </row>
    <row r="21" spans="1:14" x14ac:dyDescent="0.35">
      <c r="A21" s="57"/>
      <c r="B21" s="57"/>
      <c r="C21" s="57"/>
      <c r="D21" s="232"/>
      <c r="E21" s="177"/>
      <c r="F21" s="256"/>
      <c r="G21" s="57">
        <f>D20+E20+E21</f>
        <v>12350</v>
      </c>
      <c r="H21" s="61"/>
      <c r="I21" s="261"/>
    </row>
    <row r="22" spans="1:14" x14ac:dyDescent="0.35">
      <c r="A22" s="57"/>
      <c r="B22" s="57"/>
      <c r="C22" s="57" t="s">
        <v>4</v>
      </c>
      <c r="D22" s="232">
        <v>427</v>
      </c>
      <c r="E22" s="177"/>
      <c r="F22" s="308"/>
      <c r="G22" s="57">
        <f>D22+E22</f>
        <v>427</v>
      </c>
      <c r="H22" s="61"/>
      <c r="I22" s="177"/>
      <c r="J22" s="57"/>
      <c r="K22" s="57"/>
    </row>
    <row r="23" spans="1:14" x14ac:dyDescent="0.35">
      <c r="A23" s="57"/>
      <c r="B23" s="57"/>
      <c r="C23" s="57" t="s">
        <v>204</v>
      </c>
      <c r="D23" s="57"/>
      <c r="E23" s="177"/>
      <c r="F23" s="308"/>
      <c r="G23" s="232"/>
      <c r="H23" s="61"/>
      <c r="I23" s="177" t="s">
        <v>321</v>
      </c>
      <c r="J23" s="57"/>
      <c r="K23" s="57"/>
    </row>
    <row r="24" spans="1:14" x14ac:dyDescent="0.35">
      <c r="A24" s="57"/>
      <c r="B24" s="57"/>
      <c r="C24" s="57" t="s">
        <v>203</v>
      </c>
      <c r="D24" s="57"/>
      <c r="E24" s="177"/>
      <c r="F24" s="308"/>
      <c r="G24" s="57">
        <f>D23+E22+E23+E24</f>
        <v>0</v>
      </c>
      <c r="H24" s="61"/>
      <c r="I24" s="177"/>
      <c r="J24" s="57"/>
      <c r="K24" s="57"/>
    </row>
    <row r="25" spans="1:14" x14ac:dyDescent="0.35">
      <c r="A25" s="57"/>
      <c r="B25" s="57"/>
      <c r="C25" s="57" t="s">
        <v>5</v>
      </c>
      <c r="D25" s="232">
        <v>196648</v>
      </c>
      <c r="E25" s="177">
        <f>-'Water Loss'!D30</f>
        <v>-9619.4665329857653</v>
      </c>
      <c r="F25" s="308" t="s">
        <v>339</v>
      </c>
      <c r="G25" s="57"/>
      <c r="H25" s="66"/>
      <c r="I25" s="261" t="s">
        <v>188</v>
      </c>
      <c r="M25" s="7" t="s">
        <v>280</v>
      </c>
      <c r="N25" s="7" t="s">
        <v>281</v>
      </c>
    </row>
    <row r="26" spans="1:14" x14ac:dyDescent="0.35">
      <c r="A26" s="57"/>
      <c r="B26" s="57"/>
      <c r="C26" s="57"/>
      <c r="D26" s="232"/>
      <c r="E26" s="177">
        <f>'Water Loss'!K8</f>
        <v>22979.479999999981</v>
      </c>
      <c r="F26" s="308" t="s">
        <v>154</v>
      </c>
      <c r="G26" s="57">
        <f>D25+E25+E26</f>
        <v>210008.01346701421</v>
      </c>
      <c r="H26" s="66"/>
      <c r="I26" s="261" t="s">
        <v>288</v>
      </c>
      <c r="M26" s="7" t="s">
        <v>289</v>
      </c>
      <c r="N26" s="7" t="s">
        <v>290</v>
      </c>
    </row>
    <row r="27" spans="1:14" x14ac:dyDescent="0.35">
      <c r="A27" s="57"/>
      <c r="B27" s="57"/>
      <c r="C27" s="57" t="s">
        <v>6</v>
      </c>
      <c r="D27" s="57"/>
      <c r="E27" s="57">
        <f>D101</f>
        <v>6161.54</v>
      </c>
      <c r="F27" s="308" t="s">
        <v>155</v>
      </c>
      <c r="G27" s="57"/>
      <c r="H27" s="67"/>
      <c r="I27" s="261" t="s">
        <v>191</v>
      </c>
      <c r="J27" s="57"/>
      <c r="K27" s="57"/>
      <c r="M27" s="7" t="s">
        <v>333</v>
      </c>
      <c r="N27" s="7" t="s">
        <v>326</v>
      </c>
    </row>
    <row r="28" spans="1:14" x14ac:dyDescent="0.35">
      <c r="A28" s="57"/>
      <c r="B28" s="57"/>
      <c r="C28" s="57"/>
      <c r="D28" s="57"/>
      <c r="E28" s="57">
        <f>-'Water Loss'!D31</f>
        <v>-301.40519009424514</v>
      </c>
      <c r="F28" s="308" t="s">
        <v>339</v>
      </c>
      <c r="G28" s="57">
        <f>E27+E28</f>
        <v>5860.134809905755</v>
      </c>
      <c r="H28" s="67"/>
      <c r="I28" s="261" t="s">
        <v>189</v>
      </c>
      <c r="J28" s="57"/>
      <c r="K28" s="57"/>
      <c r="M28" s="7" t="s">
        <v>280</v>
      </c>
      <c r="N28" s="7" t="s">
        <v>328</v>
      </c>
    </row>
    <row r="29" spans="1:14" x14ac:dyDescent="0.35">
      <c r="A29" s="57"/>
      <c r="B29" s="57"/>
      <c r="C29" s="57" t="s">
        <v>7</v>
      </c>
      <c r="D29" s="57">
        <v>3434</v>
      </c>
      <c r="E29" s="57">
        <f>D91</f>
        <v>12563.05</v>
      </c>
      <c r="F29" s="308" t="s">
        <v>340</v>
      </c>
      <c r="G29" s="57"/>
      <c r="I29" s="7" t="s">
        <v>332</v>
      </c>
      <c r="M29" s="7" t="s">
        <v>333</v>
      </c>
      <c r="N29" s="7" t="s">
        <v>334</v>
      </c>
    </row>
    <row r="30" spans="1:14" x14ac:dyDescent="0.35">
      <c r="A30" s="57"/>
      <c r="B30" s="57"/>
      <c r="C30" s="57"/>
      <c r="D30" s="57"/>
      <c r="E30" s="57">
        <f>-Capital!C6</f>
        <v>-6741</v>
      </c>
      <c r="F30" s="308" t="s">
        <v>181</v>
      </c>
      <c r="G30" s="57">
        <f>D29+E29+E30</f>
        <v>9256.0499999999993</v>
      </c>
      <c r="H30" s="67"/>
      <c r="I30" s="177" t="s">
        <v>183</v>
      </c>
      <c r="J30" s="57"/>
      <c r="K30" s="57"/>
      <c r="M30" s="7" t="s">
        <v>336</v>
      </c>
      <c r="N30" s="7" t="s">
        <v>337</v>
      </c>
    </row>
    <row r="31" spans="1:14" x14ac:dyDescent="0.35">
      <c r="A31" s="57"/>
      <c r="B31" s="57"/>
      <c r="C31" s="319" t="s">
        <v>330</v>
      </c>
      <c r="D31" s="232">
        <v>1478</v>
      </c>
      <c r="E31" s="57"/>
      <c r="F31" s="308"/>
      <c r="G31" s="57">
        <f t="shared" ref="G31:G33" si="0">D31+E31</f>
        <v>1478</v>
      </c>
      <c r="H31" s="61"/>
    </row>
    <row r="32" spans="1:14" x14ac:dyDescent="0.35">
      <c r="A32" s="57"/>
      <c r="B32" s="57"/>
      <c r="C32" s="319" t="s">
        <v>331</v>
      </c>
      <c r="D32" s="232">
        <v>6130</v>
      </c>
      <c r="E32" s="57"/>
      <c r="F32" s="308"/>
      <c r="G32" s="57">
        <f>D32+E32</f>
        <v>6130</v>
      </c>
      <c r="H32" s="61"/>
      <c r="I32" s="57"/>
      <c r="J32" s="57"/>
      <c r="K32" s="57"/>
    </row>
    <row r="33" spans="1:14" x14ac:dyDescent="0.35">
      <c r="A33" s="57"/>
      <c r="B33" s="57"/>
      <c r="C33" s="57" t="s">
        <v>226</v>
      </c>
      <c r="D33" s="232">
        <v>2500</v>
      </c>
      <c r="E33" s="57"/>
      <c r="F33" s="308"/>
      <c r="G33" s="57">
        <f t="shared" si="0"/>
        <v>2500</v>
      </c>
      <c r="H33" s="61"/>
      <c r="I33" s="57"/>
      <c r="J33" s="57"/>
      <c r="K33" s="57"/>
    </row>
    <row r="34" spans="1:14" x14ac:dyDescent="0.35">
      <c r="A34" s="57"/>
      <c r="B34" s="57"/>
      <c r="C34" s="57" t="s">
        <v>227</v>
      </c>
      <c r="D34" s="57">
        <v>11162</v>
      </c>
      <c r="E34" s="57"/>
      <c r="F34" s="256"/>
      <c r="G34" s="57">
        <f>D34+E34</f>
        <v>11162</v>
      </c>
      <c r="H34" s="63"/>
      <c r="I34" s="57" t="s">
        <v>322</v>
      </c>
      <c r="J34" s="57"/>
      <c r="K34" s="57"/>
    </row>
    <row r="35" spans="1:14" x14ac:dyDescent="0.35">
      <c r="A35" s="57"/>
      <c r="B35" s="57"/>
      <c r="C35" s="57" t="s">
        <v>234</v>
      </c>
      <c r="D35" s="57">
        <v>12033</v>
      </c>
      <c r="E35" s="57"/>
      <c r="F35" s="256"/>
      <c r="G35" s="57">
        <f>D35+E35</f>
        <v>12033</v>
      </c>
      <c r="H35" s="63"/>
      <c r="I35" s="57"/>
      <c r="J35" s="57"/>
      <c r="K35" s="57"/>
    </row>
    <row r="36" spans="1:14" x14ac:dyDescent="0.35">
      <c r="A36" s="57"/>
      <c r="B36" s="57"/>
      <c r="C36" s="7" t="s">
        <v>8</v>
      </c>
      <c r="D36" s="262">
        <v>57574</v>
      </c>
      <c r="E36" s="78">
        <f>-D91</f>
        <v>-12563.05</v>
      </c>
      <c r="F36" s="308" t="s">
        <v>340</v>
      </c>
      <c r="G36" s="78"/>
      <c r="H36" s="63"/>
      <c r="I36" s="7" t="s">
        <v>332</v>
      </c>
      <c r="J36" s="57"/>
      <c r="K36" s="57"/>
      <c r="M36" s="7" t="s">
        <v>333</v>
      </c>
      <c r="N36" s="7" t="s">
        <v>334</v>
      </c>
    </row>
    <row r="37" spans="1:14" x14ac:dyDescent="0.35">
      <c r="A37" s="57"/>
      <c r="B37" s="57"/>
      <c r="D37" s="262"/>
      <c r="E37" s="78">
        <f>-E27</f>
        <v>-6161.54</v>
      </c>
      <c r="F37" s="308" t="s">
        <v>155</v>
      </c>
      <c r="G37" s="78">
        <f>D36+E36+E37</f>
        <v>38849.409999999996</v>
      </c>
      <c r="H37" s="63"/>
      <c r="I37" s="261" t="s">
        <v>191</v>
      </c>
      <c r="J37" s="57"/>
      <c r="K37" s="57"/>
      <c r="M37" s="7" t="s">
        <v>333</v>
      </c>
      <c r="N37" s="7" t="s">
        <v>326</v>
      </c>
    </row>
    <row r="38" spans="1:14" x14ac:dyDescent="0.35">
      <c r="A38" s="57"/>
      <c r="B38" s="57"/>
      <c r="C38" s="57" t="s">
        <v>304</v>
      </c>
      <c r="D38" s="295">
        <f>SUM(D18:D36)</f>
        <v>343774</v>
      </c>
      <c r="E38" s="57"/>
      <c r="F38" s="256"/>
      <c r="G38" s="295">
        <f>SUM(G18:G37)</f>
        <v>357945.60827691993</v>
      </c>
      <c r="H38" s="63"/>
      <c r="I38" s="57"/>
      <c r="J38" s="57"/>
      <c r="K38" s="57"/>
    </row>
    <row r="39" spans="1:14" ht="12" customHeight="1" x14ac:dyDescent="0.35">
      <c r="A39" s="57"/>
      <c r="B39" s="57"/>
      <c r="C39" s="57"/>
      <c r="D39" s="57"/>
      <c r="E39" s="57"/>
      <c r="F39" s="256"/>
      <c r="G39" s="57"/>
      <c r="H39" s="63"/>
      <c r="I39" s="57"/>
      <c r="J39" s="57"/>
      <c r="K39" s="57"/>
    </row>
    <row r="40" spans="1:14" ht="12" customHeight="1" x14ac:dyDescent="0.35">
      <c r="A40" s="57"/>
      <c r="B40" s="57" t="s">
        <v>236</v>
      </c>
      <c r="C40" s="57"/>
      <c r="D40" s="57"/>
      <c r="E40" s="57">
        <f>8100/3</f>
        <v>2700</v>
      </c>
      <c r="F40" s="256" t="s">
        <v>342</v>
      </c>
      <c r="G40" s="57">
        <f>8100/3</f>
        <v>2700</v>
      </c>
      <c r="H40" s="63"/>
      <c r="I40" s="57" t="s">
        <v>237</v>
      </c>
      <c r="J40" s="57"/>
      <c r="K40" s="57"/>
    </row>
    <row r="41" spans="1:14" x14ac:dyDescent="0.35">
      <c r="A41" s="57"/>
      <c r="B41" s="57" t="s">
        <v>18</v>
      </c>
      <c r="C41" s="57"/>
      <c r="D41" s="232">
        <v>91158</v>
      </c>
      <c r="E41" s="57">
        <f>Depreciation!K44</f>
        <v>-21662.566610000002</v>
      </c>
      <c r="F41" s="256" t="s">
        <v>180</v>
      </c>
      <c r="G41" s="57">
        <f>D41+E41</f>
        <v>69495.433389999991</v>
      </c>
      <c r="H41" s="63"/>
      <c r="I41" s="57" t="s">
        <v>184</v>
      </c>
      <c r="J41" s="57"/>
      <c r="M41" s="7" t="s">
        <v>37</v>
      </c>
      <c r="N41" s="7" t="s">
        <v>291</v>
      </c>
    </row>
    <row r="42" spans="1:14" ht="16" x14ac:dyDescent="0.35">
      <c r="A42" s="57"/>
      <c r="B42" s="57" t="s">
        <v>1</v>
      </c>
      <c r="C42" s="57"/>
      <c r="D42" s="237">
        <v>3189</v>
      </c>
      <c r="E42" s="78">
        <f>Wages!H32</f>
        <v>1419.5129999999999</v>
      </c>
      <c r="F42" s="320" t="s">
        <v>185</v>
      </c>
      <c r="G42" s="79">
        <f>D42+E42</f>
        <v>4608.5129999999999</v>
      </c>
      <c r="H42" s="63"/>
      <c r="I42" s="57" t="s">
        <v>292</v>
      </c>
      <c r="J42" s="57"/>
      <c r="M42" s="7" t="s">
        <v>80</v>
      </c>
      <c r="N42" s="7" t="s">
        <v>293</v>
      </c>
    </row>
    <row r="43" spans="1:14" ht="16" x14ac:dyDescent="0.35">
      <c r="A43" s="64" t="s">
        <v>0</v>
      </c>
      <c r="B43" s="57"/>
      <c r="C43" s="57"/>
      <c r="D43" s="79">
        <f>SUM(D38:D42)</f>
        <v>438121</v>
      </c>
      <c r="E43" s="78"/>
      <c r="F43" s="80"/>
      <c r="G43" s="79">
        <f>SUM(G38:G42)</f>
        <v>434749.55466691992</v>
      </c>
      <c r="H43" s="63"/>
      <c r="I43" s="57"/>
      <c r="J43" s="57"/>
      <c r="K43" s="57"/>
    </row>
    <row r="44" spans="1:14" ht="11.5" customHeight="1" x14ac:dyDescent="0.35">
      <c r="A44" s="64"/>
      <c r="B44" s="57"/>
      <c r="C44" s="57"/>
      <c r="D44" s="81"/>
      <c r="E44" s="57"/>
      <c r="F44" s="60"/>
      <c r="G44" s="57"/>
      <c r="H44" s="57"/>
      <c r="I44" s="57"/>
      <c r="J44" s="57"/>
      <c r="K44" s="57"/>
    </row>
    <row r="45" spans="1:14" x14ac:dyDescent="0.35">
      <c r="A45" s="64" t="s">
        <v>31</v>
      </c>
      <c r="B45" s="57"/>
      <c r="C45" s="57"/>
      <c r="D45" s="177">
        <f>D14-D43</f>
        <v>9518</v>
      </c>
      <c r="E45" s="57"/>
      <c r="F45" s="60"/>
      <c r="G45" s="57">
        <f>G14-G43</f>
        <v>4841.2903330801055</v>
      </c>
      <c r="H45" s="57"/>
      <c r="I45" s="57"/>
      <c r="K45" s="57"/>
    </row>
    <row r="46" spans="1:14" x14ac:dyDescent="0.35">
      <c r="A46" s="57"/>
      <c r="B46" s="57"/>
      <c r="C46" s="57"/>
      <c r="D46" s="57"/>
      <c r="E46" s="57"/>
      <c r="F46" s="60"/>
      <c r="G46" s="57"/>
      <c r="H46" s="57"/>
      <c r="I46" s="57"/>
      <c r="J46" s="57"/>
      <c r="K46" s="57"/>
    </row>
    <row r="47" spans="1:14" ht="18.5" x14ac:dyDescent="0.35">
      <c r="A47" s="343" t="s">
        <v>19</v>
      </c>
      <c r="B47" s="343"/>
      <c r="C47" s="343"/>
      <c r="D47" s="343"/>
      <c r="E47" s="343"/>
      <c r="F47" s="343"/>
      <c r="G47" s="343"/>
      <c r="H47" s="57"/>
      <c r="I47" s="68"/>
      <c r="J47" s="69"/>
      <c r="K47" s="57"/>
    </row>
    <row r="48" spans="1:14" ht="18.5" x14ac:dyDescent="0.35">
      <c r="A48" s="343" t="s">
        <v>211</v>
      </c>
      <c r="B48" s="343"/>
      <c r="C48" s="343"/>
      <c r="D48" s="343"/>
      <c r="E48" s="343"/>
      <c r="F48" s="343"/>
      <c r="G48" s="343"/>
      <c r="H48" s="57"/>
      <c r="I48" s="68"/>
      <c r="J48" s="69"/>
      <c r="K48" s="57"/>
    </row>
    <row r="49" spans="1:14" x14ac:dyDescent="0.35">
      <c r="A49" s="64" t="s">
        <v>32</v>
      </c>
      <c r="B49" s="57"/>
      <c r="C49" s="57"/>
      <c r="D49" s="70"/>
      <c r="E49" s="57"/>
      <c r="F49" s="65"/>
      <c r="G49" s="7">
        <f>G43</f>
        <v>434749.55466691992</v>
      </c>
      <c r="H49" s="57"/>
      <c r="J49" s="57"/>
      <c r="K49" s="57"/>
    </row>
    <row r="50" spans="1:14" x14ac:dyDescent="0.35">
      <c r="A50" s="57"/>
      <c r="B50" s="57"/>
      <c r="C50" s="57" t="s">
        <v>294</v>
      </c>
      <c r="D50" s="70"/>
      <c r="E50" s="57"/>
      <c r="F50" s="308" t="s">
        <v>197</v>
      </c>
      <c r="G50" s="7">
        <f>G49/0.88-G49</f>
        <v>59284.030181852693</v>
      </c>
      <c r="H50" s="57"/>
      <c r="J50" s="57"/>
      <c r="K50" s="57"/>
    </row>
    <row r="51" spans="1:14" ht="16" x14ac:dyDescent="0.5">
      <c r="A51" s="57"/>
      <c r="B51" s="57"/>
      <c r="C51" s="177" t="s">
        <v>314</v>
      </c>
      <c r="D51" s="70"/>
      <c r="E51" s="57"/>
      <c r="F51" s="308" t="s">
        <v>198</v>
      </c>
      <c r="G51" s="26">
        <f>'Debt Service'!M24</f>
        <v>7198.88</v>
      </c>
      <c r="H51" s="57"/>
      <c r="J51" s="57"/>
      <c r="K51" s="57"/>
      <c r="M51" s="7" t="s">
        <v>296</v>
      </c>
      <c r="N51" s="7" t="s">
        <v>297</v>
      </c>
    </row>
    <row r="52" spans="1:14" x14ac:dyDescent="0.35">
      <c r="A52" s="64" t="s">
        <v>60</v>
      </c>
      <c r="B52" s="57"/>
      <c r="C52" s="57"/>
      <c r="D52" s="70"/>
      <c r="E52" s="57"/>
      <c r="F52" s="65"/>
      <c r="G52" s="7">
        <f>SUM(G49:G51)</f>
        <v>501232.46484877262</v>
      </c>
      <c r="H52" s="57"/>
      <c r="J52" s="57"/>
      <c r="K52" s="57"/>
    </row>
    <row r="53" spans="1:14" x14ac:dyDescent="0.35">
      <c r="A53" s="57" t="s">
        <v>21</v>
      </c>
      <c r="B53" s="57"/>
      <c r="C53" s="57" t="s">
        <v>22</v>
      </c>
      <c r="D53" s="70"/>
      <c r="E53" s="57"/>
      <c r="F53" s="65"/>
      <c r="G53" s="7">
        <f>SUM(G11:G13)</f>
        <v>3607</v>
      </c>
      <c r="H53" s="57"/>
      <c r="J53" s="57"/>
      <c r="K53" s="57"/>
    </row>
    <row r="54" spans="1:14" x14ac:dyDescent="0.35">
      <c r="A54" s="57"/>
      <c r="B54" s="57"/>
      <c r="C54" s="57" t="s">
        <v>56</v>
      </c>
      <c r="D54" s="70"/>
      <c r="E54" s="57"/>
      <c r="F54" s="65"/>
      <c r="H54" s="57"/>
      <c r="J54" s="57"/>
      <c r="K54" s="57"/>
    </row>
    <row r="55" spans="1:14" x14ac:dyDescent="0.35">
      <c r="A55" s="57"/>
      <c r="B55" s="57"/>
      <c r="C55" s="57" t="s">
        <v>10</v>
      </c>
      <c r="D55" s="70"/>
      <c r="E55" s="57"/>
      <c r="F55" s="65"/>
      <c r="G55" s="35">
        <v>54</v>
      </c>
      <c r="H55" s="57"/>
      <c r="I55" s="35" t="s">
        <v>235</v>
      </c>
      <c r="J55" s="57"/>
      <c r="K55" s="57"/>
    </row>
    <row r="56" spans="1:14" x14ac:dyDescent="0.35">
      <c r="A56" s="64" t="s">
        <v>58</v>
      </c>
      <c r="B56" s="57"/>
      <c r="C56" s="57"/>
      <c r="D56" s="70"/>
      <c r="E56" s="57"/>
      <c r="F56" s="65"/>
      <c r="G56" s="7">
        <f>G52-G53-G54-G55</f>
        <v>497571.46484877262</v>
      </c>
      <c r="H56" s="57"/>
      <c r="J56" s="57"/>
      <c r="K56" s="57"/>
    </row>
    <row r="57" spans="1:14" ht="16" x14ac:dyDescent="0.5">
      <c r="A57" s="57" t="s">
        <v>21</v>
      </c>
      <c r="B57" s="57"/>
      <c r="C57" s="57" t="s">
        <v>59</v>
      </c>
      <c r="D57" s="70"/>
      <c r="E57" s="57"/>
      <c r="F57" s="65"/>
      <c r="G57" s="26">
        <f>G8</f>
        <v>435983.84500000003</v>
      </c>
      <c r="H57" s="57"/>
      <c r="I57" s="35"/>
      <c r="J57" s="57"/>
      <c r="K57" s="57"/>
    </row>
    <row r="58" spans="1:14" x14ac:dyDescent="0.35">
      <c r="A58" s="64" t="s">
        <v>61</v>
      </c>
      <c r="B58" s="57"/>
      <c r="C58" s="57"/>
      <c r="D58" s="70"/>
      <c r="E58" s="57"/>
      <c r="F58" s="65"/>
      <c r="G58" s="57">
        <f>G56-G57</f>
        <v>61587.619848772592</v>
      </c>
      <c r="H58" s="57"/>
      <c r="I58" s="57"/>
      <c r="J58" s="57"/>
      <c r="K58" s="57"/>
    </row>
    <row r="59" spans="1:14" ht="13" customHeight="1" x14ac:dyDescent="0.35">
      <c r="A59" s="57"/>
      <c r="B59" s="57"/>
      <c r="C59" s="57"/>
      <c r="D59" s="70"/>
      <c r="E59" s="57"/>
      <c r="F59" s="65"/>
      <c r="G59" s="57"/>
      <c r="H59" s="57"/>
      <c r="I59" s="57"/>
      <c r="J59" s="57"/>
      <c r="K59" s="57"/>
    </row>
    <row r="60" spans="1:14" x14ac:dyDescent="0.35">
      <c r="A60" s="64" t="s">
        <v>62</v>
      </c>
      <c r="B60" s="57"/>
      <c r="C60" s="57"/>
      <c r="D60" s="70"/>
      <c r="E60" s="57"/>
      <c r="F60" s="65"/>
      <c r="G60" s="72">
        <f>G58/G57</f>
        <v>0.14126124294530359</v>
      </c>
      <c r="H60" s="57"/>
      <c r="I60" s="57"/>
      <c r="J60" s="57"/>
      <c r="K60" s="57"/>
    </row>
    <row r="62" spans="1:14" ht="18.5" x14ac:dyDescent="0.35">
      <c r="A62" s="343" t="s">
        <v>216</v>
      </c>
      <c r="B62" s="343"/>
      <c r="C62" s="343"/>
      <c r="D62" s="343"/>
      <c r="E62" s="343"/>
      <c r="F62" s="343"/>
      <c r="G62" s="343"/>
    </row>
    <row r="63" spans="1:14" ht="18.5" x14ac:dyDescent="0.35">
      <c r="A63" s="343" t="s">
        <v>19</v>
      </c>
      <c r="B63" s="343"/>
      <c r="C63" s="343"/>
      <c r="D63" s="343"/>
      <c r="E63" s="343"/>
      <c r="F63" s="343"/>
      <c r="G63" s="343"/>
      <c r="H63" s="57"/>
      <c r="I63" s="68"/>
      <c r="J63" s="69"/>
      <c r="K63" s="57"/>
    </row>
    <row r="64" spans="1:14" ht="18.5" x14ac:dyDescent="0.35">
      <c r="A64" s="343" t="s">
        <v>210</v>
      </c>
      <c r="B64" s="343"/>
      <c r="C64" s="343"/>
      <c r="D64" s="343"/>
      <c r="E64" s="343"/>
      <c r="F64" s="343"/>
      <c r="G64" s="343"/>
      <c r="H64" s="57"/>
      <c r="I64" s="68"/>
      <c r="J64" s="69"/>
      <c r="K64" s="57"/>
    </row>
    <row r="65" spans="1:14" x14ac:dyDescent="0.35">
      <c r="A65" s="64" t="s">
        <v>32</v>
      </c>
      <c r="B65" s="57"/>
      <c r="C65" s="57"/>
      <c r="D65" s="70"/>
      <c r="E65" s="57"/>
      <c r="F65" s="65"/>
      <c r="G65" s="7">
        <f>G43</f>
        <v>434749.55466691992</v>
      </c>
      <c r="H65" s="57"/>
      <c r="J65" s="57"/>
      <c r="K65" s="57"/>
    </row>
    <row r="66" spans="1:14" x14ac:dyDescent="0.35">
      <c r="A66" s="57" t="s">
        <v>20</v>
      </c>
      <c r="B66" s="57"/>
      <c r="C66" s="57" t="s">
        <v>88</v>
      </c>
      <c r="D66" s="70"/>
      <c r="E66" s="57"/>
      <c r="F66" s="308"/>
      <c r="G66" s="7">
        <f>'Debt Service'!M19</f>
        <v>42509.902000000009</v>
      </c>
      <c r="H66" s="57"/>
      <c r="I66" s="7" t="s">
        <v>212</v>
      </c>
      <c r="J66" s="57"/>
      <c r="K66" s="57"/>
      <c r="M66" s="7" t="s">
        <v>296</v>
      </c>
      <c r="N66" s="7" t="s">
        <v>323</v>
      </c>
    </row>
    <row r="67" spans="1:14" ht="16" x14ac:dyDescent="0.5">
      <c r="A67" s="57"/>
      <c r="B67" s="57"/>
      <c r="C67" s="57" t="s">
        <v>89</v>
      </c>
      <c r="D67" s="70"/>
      <c r="E67" s="57"/>
      <c r="F67" s="308"/>
      <c r="G67" s="26">
        <f>'Debt Service'!M21</f>
        <v>8501.9804000000022</v>
      </c>
      <c r="H67" s="57"/>
      <c r="I67" s="7" t="s">
        <v>186</v>
      </c>
      <c r="J67" s="57"/>
      <c r="K67" s="57"/>
      <c r="M67" s="7" t="s">
        <v>296</v>
      </c>
      <c r="N67" s="7" t="s">
        <v>324</v>
      </c>
    </row>
    <row r="68" spans="1:14" x14ac:dyDescent="0.35">
      <c r="A68" s="64" t="s">
        <v>60</v>
      </c>
      <c r="B68" s="57"/>
      <c r="C68" s="57"/>
      <c r="D68" s="70"/>
      <c r="E68" s="57"/>
      <c r="F68" s="65"/>
      <c r="G68" s="7">
        <f>G65+G66+G67</f>
        <v>485761.43706691993</v>
      </c>
      <c r="H68" s="57"/>
      <c r="J68" s="57"/>
      <c r="K68" s="57"/>
    </row>
    <row r="69" spans="1:14" x14ac:dyDescent="0.35">
      <c r="A69" s="57" t="s">
        <v>21</v>
      </c>
      <c r="B69" s="57"/>
      <c r="C69" s="57" t="s">
        <v>22</v>
      </c>
      <c r="D69" s="70"/>
      <c r="E69" s="57"/>
      <c r="F69" s="65"/>
      <c r="G69" s="7">
        <f>SUM(G11:G13)</f>
        <v>3607</v>
      </c>
      <c r="H69" s="57"/>
      <c r="J69" s="57"/>
      <c r="K69" s="57"/>
    </row>
    <row r="70" spans="1:14" x14ac:dyDescent="0.35">
      <c r="A70" s="57"/>
      <c r="B70" s="57"/>
      <c r="C70" s="57" t="s">
        <v>56</v>
      </c>
      <c r="D70" s="70"/>
      <c r="E70" s="57"/>
      <c r="F70" s="65"/>
      <c r="H70" s="57"/>
      <c r="J70" s="57"/>
      <c r="K70" s="57"/>
    </row>
    <row r="71" spans="1:14" x14ac:dyDescent="0.35">
      <c r="A71" s="57"/>
      <c r="B71" s="57"/>
      <c r="C71" s="57" t="s">
        <v>10</v>
      </c>
      <c r="D71" s="70"/>
      <c r="E71" s="57"/>
      <c r="F71" s="65"/>
      <c r="G71" s="35">
        <f>G55</f>
        <v>54</v>
      </c>
      <c r="H71" s="57"/>
      <c r="I71" s="35"/>
      <c r="J71" s="57"/>
      <c r="K71" s="57"/>
    </row>
    <row r="72" spans="1:14" x14ac:dyDescent="0.35">
      <c r="A72" s="64" t="s">
        <v>58</v>
      </c>
      <c r="B72" s="57"/>
      <c r="C72" s="57"/>
      <c r="D72" s="70"/>
      <c r="E72" s="57"/>
      <c r="F72" s="65"/>
      <c r="G72" s="7">
        <f>G68-G69-G70-G71</f>
        <v>482100.43706691993</v>
      </c>
      <c r="H72" s="57"/>
      <c r="J72" s="57"/>
      <c r="K72" s="57"/>
    </row>
    <row r="73" spans="1:14" ht="16" x14ac:dyDescent="0.5">
      <c r="A73" s="57" t="s">
        <v>21</v>
      </c>
      <c r="B73" s="57"/>
      <c r="C73" s="57" t="s">
        <v>59</v>
      </c>
      <c r="D73" s="70"/>
      <c r="E73" s="57"/>
      <c r="F73" s="65"/>
      <c r="G73" s="26">
        <f>G8</f>
        <v>435983.84500000003</v>
      </c>
      <c r="H73" s="57"/>
      <c r="I73" s="340" t="s">
        <v>65</v>
      </c>
      <c r="J73" s="57"/>
      <c r="K73" s="57"/>
    </row>
    <row r="74" spans="1:14" x14ac:dyDescent="0.35">
      <c r="A74" s="64" t="s">
        <v>61</v>
      </c>
      <c r="B74" s="57"/>
      <c r="C74" s="57"/>
      <c r="D74" s="70"/>
      <c r="E74" s="57"/>
      <c r="F74" s="65"/>
      <c r="G74" s="57">
        <f>G72-G73</f>
        <v>46116.592066919897</v>
      </c>
      <c r="H74" s="57"/>
      <c r="I74" s="57">
        <f>G58-G74</f>
        <v>15471.027781852696</v>
      </c>
      <c r="J74" s="57"/>
      <c r="K74" s="57"/>
    </row>
    <row r="75" spans="1:14" x14ac:dyDescent="0.35">
      <c r="A75" s="57"/>
      <c r="B75" s="57"/>
      <c r="C75" s="57"/>
      <c r="D75" s="70"/>
      <c r="E75" s="57"/>
      <c r="F75" s="65"/>
      <c r="G75" s="57"/>
      <c r="H75" s="57"/>
      <c r="I75" s="57"/>
      <c r="J75" s="57"/>
      <c r="K75" s="57"/>
    </row>
    <row r="76" spans="1:14" x14ac:dyDescent="0.35">
      <c r="A76" s="64" t="s">
        <v>62</v>
      </c>
      <c r="B76" s="57"/>
      <c r="C76" s="57"/>
      <c r="D76" s="70"/>
      <c r="E76" s="57"/>
      <c r="F76" s="65"/>
      <c r="G76" s="72">
        <f>G74/G73</f>
        <v>0.10577591944242772</v>
      </c>
      <c r="H76" s="57"/>
      <c r="I76" s="57"/>
      <c r="J76" s="57"/>
      <c r="K76" s="57"/>
    </row>
    <row r="77" spans="1:14" ht="18.5" x14ac:dyDescent="0.35">
      <c r="A77" s="343"/>
      <c r="B77" s="343"/>
      <c r="C77" s="343"/>
      <c r="D77" s="343"/>
      <c r="E77" s="343"/>
      <c r="F77" s="343"/>
      <c r="G77" s="343"/>
    </row>
    <row r="78" spans="1:14" ht="18.5" x14ac:dyDescent="0.35">
      <c r="A78" s="343"/>
      <c r="B78" s="343"/>
      <c r="C78" s="343"/>
      <c r="D78" s="343"/>
      <c r="E78" s="343"/>
      <c r="F78" s="343"/>
      <c r="G78" s="343"/>
    </row>
    <row r="79" spans="1:14" x14ac:dyDescent="0.35">
      <c r="A79" s="64"/>
      <c r="B79" s="57"/>
      <c r="C79" s="57"/>
      <c r="D79" s="70"/>
      <c r="E79" s="57"/>
      <c r="F79" s="65"/>
    </row>
    <row r="80" spans="1:14" x14ac:dyDescent="0.35">
      <c r="A80" s="57"/>
      <c r="B80" s="64" t="s">
        <v>325</v>
      </c>
      <c r="C80" s="57"/>
      <c r="D80" s="70"/>
      <c r="E80" s="57"/>
      <c r="F80" s="65"/>
    </row>
    <row r="81" spans="1:7" x14ac:dyDescent="0.35">
      <c r="A81" s="57"/>
      <c r="B81" s="57"/>
      <c r="C81" s="152" t="s">
        <v>273</v>
      </c>
      <c r="D81" s="153"/>
      <c r="E81" s="153"/>
      <c r="F81" s="152"/>
      <c r="G81" s="152"/>
    </row>
    <row r="82" spans="1:7" x14ac:dyDescent="0.35">
      <c r="A82" s="64"/>
      <c r="B82" s="57"/>
      <c r="C82" s="259" t="s">
        <v>249</v>
      </c>
      <c r="D82" s="260"/>
      <c r="E82" s="260"/>
      <c r="F82" s="259" t="s">
        <v>270</v>
      </c>
      <c r="G82" s="259"/>
    </row>
    <row r="83" spans="1:7" x14ac:dyDescent="0.35">
      <c r="A83" s="57"/>
      <c r="B83" s="57"/>
      <c r="C83" s="152" t="s">
        <v>250</v>
      </c>
      <c r="D83" s="257">
        <v>2414.14</v>
      </c>
      <c r="E83" s="153"/>
      <c r="F83" s="152" t="s">
        <v>271</v>
      </c>
      <c r="G83" s="153">
        <v>10120</v>
      </c>
    </row>
    <row r="84" spans="1:7" x14ac:dyDescent="0.35">
      <c r="A84" s="57"/>
      <c r="B84" s="57"/>
      <c r="C84" s="152" t="s">
        <v>251</v>
      </c>
      <c r="D84" s="257">
        <v>365.56</v>
      </c>
      <c r="E84" s="153"/>
      <c r="F84" s="152" t="s">
        <v>272</v>
      </c>
      <c r="G84" s="260">
        <v>1042</v>
      </c>
    </row>
    <row r="85" spans="1:7" x14ac:dyDescent="0.35">
      <c r="A85" s="57"/>
      <c r="B85" s="57"/>
      <c r="C85" s="152" t="s">
        <v>252</v>
      </c>
      <c r="D85" s="257">
        <v>123.83</v>
      </c>
      <c r="E85" s="153"/>
      <c r="F85" s="152"/>
      <c r="G85" s="153">
        <f>SUM(G83:G84)</f>
        <v>11162</v>
      </c>
    </row>
    <row r="86" spans="1:7" x14ac:dyDescent="0.35">
      <c r="A86" s="64"/>
      <c r="B86" s="57"/>
      <c r="C86" s="152" t="s">
        <v>253</v>
      </c>
      <c r="D86" s="257">
        <v>160</v>
      </c>
      <c r="E86" s="153"/>
      <c r="F86" s="152"/>
      <c r="G86" s="152"/>
    </row>
    <row r="87" spans="1:7" x14ac:dyDescent="0.35">
      <c r="A87" s="57"/>
      <c r="B87" s="57"/>
      <c r="C87" s="152" t="s">
        <v>254</v>
      </c>
      <c r="D87" s="257">
        <v>600</v>
      </c>
      <c r="E87" s="153"/>
      <c r="F87" s="152"/>
      <c r="G87" s="152"/>
    </row>
    <row r="88" spans="1:7" x14ac:dyDescent="0.35">
      <c r="A88" s="64"/>
      <c r="B88" s="57"/>
      <c r="C88" s="152" t="s">
        <v>255</v>
      </c>
      <c r="D88" s="257">
        <v>2060.0700000000002</v>
      </c>
      <c r="E88" s="153"/>
      <c r="F88" s="152"/>
      <c r="G88" s="152"/>
    </row>
    <row r="89" spans="1:7" x14ac:dyDescent="0.35">
      <c r="A89" s="57"/>
      <c r="B89" s="57"/>
      <c r="C89" s="152" t="s">
        <v>256</v>
      </c>
      <c r="D89" s="257">
        <v>678.74</v>
      </c>
      <c r="E89" s="153"/>
      <c r="F89" s="152"/>
      <c r="G89" s="152"/>
    </row>
    <row r="90" spans="1:7" x14ac:dyDescent="0.35">
      <c r="A90" s="64"/>
      <c r="B90" s="57"/>
      <c r="C90" s="152" t="s">
        <v>257</v>
      </c>
      <c r="D90" s="257">
        <v>8378.27</v>
      </c>
      <c r="E90" s="153"/>
      <c r="F90" s="152"/>
      <c r="G90" s="152"/>
    </row>
    <row r="91" spans="1:7" x14ac:dyDescent="0.35">
      <c r="C91" s="152" t="s">
        <v>258</v>
      </c>
      <c r="D91" s="257">
        <v>12563.05</v>
      </c>
      <c r="E91" s="153"/>
      <c r="F91" s="152"/>
      <c r="G91" s="152"/>
    </row>
    <row r="92" spans="1:7" x14ac:dyDescent="0.35">
      <c r="C92" s="152" t="s">
        <v>259</v>
      </c>
      <c r="D92" s="257">
        <v>398</v>
      </c>
      <c r="E92" s="153"/>
      <c r="F92" s="152"/>
      <c r="G92" s="152"/>
    </row>
    <row r="93" spans="1:7" x14ac:dyDescent="0.35">
      <c r="C93" s="152" t="s">
        <v>260</v>
      </c>
      <c r="D93" s="257">
        <v>225</v>
      </c>
      <c r="E93" s="153"/>
      <c r="F93" s="152"/>
      <c r="G93" s="152"/>
    </row>
    <row r="94" spans="1:7" x14ac:dyDescent="0.35">
      <c r="C94" s="152" t="s">
        <v>261</v>
      </c>
      <c r="D94" s="257">
        <v>3524.51</v>
      </c>
      <c r="E94" s="153"/>
      <c r="F94" s="152"/>
      <c r="G94" s="152"/>
    </row>
    <row r="95" spans="1:7" x14ac:dyDescent="0.35">
      <c r="C95" s="152" t="s">
        <v>262</v>
      </c>
      <c r="D95" s="257">
        <v>-0.04</v>
      </c>
      <c r="E95" s="153"/>
      <c r="F95" s="152"/>
      <c r="G95" s="152"/>
    </row>
    <row r="96" spans="1:7" x14ac:dyDescent="0.35">
      <c r="C96" s="152" t="s">
        <v>263</v>
      </c>
      <c r="D96" s="257">
        <v>1159.45</v>
      </c>
      <c r="E96" s="153"/>
      <c r="F96" s="152"/>
      <c r="G96" s="152"/>
    </row>
    <row r="97" spans="3:7" x14ac:dyDescent="0.35">
      <c r="C97" s="152" t="s">
        <v>264</v>
      </c>
      <c r="D97" s="257">
        <v>17825.57</v>
      </c>
      <c r="E97" s="153"/>
      <c r="F97" s="152"/>
      <c r="G97" s="152"/>
    </row>
    <row r="98" spans="3:7" x14ac:dyDescent="0.35">
      <c r="C98" s="152" t="s">
        <v>265</v>
      </c>
      <c r="D98" s="257">
        <v>114</v>
      </c>
      <c r="E98" s="153"/>
      <c r="F98" s="152"/>
      <c r="G98" s="152"/>
    </row>
    <row r="99" spans="3:7" x14ac:dyDescent="0.35">
      <c r="C99" s="152" t="s">
        <v>266</v>
      </c>
      <c r="D99" s="257">
        <v>58.2</v>
      </c>
      <c r="E99" s="153"/>
      <c r="F99" s="152"/>
      <c r="G99" s="152"/>
    </row>
    <row r="100" spans="3:7" x14ac:dyDescent="0.35">
      <c r="C100" s="152" t="s">
        <v>267</v>
      </c>
      <c r="D100" s="257">
        <v>760.95</v>
      </c>
      <c r="E100" s="153"/>
      <c r="F100" s="152"/>
      <c r="G100" s="152"/>
    </row>
    <row r="101" spans="3:7" x14ac:dyDescent="0.35">
      <c r="C101" s="152" t="s">
        <v>268</v>
      </c>
      <c r="D101" s="258">
        <v>6161.54</v>
      </c>
      <c r="E101" s="153"/>
      <c r="F101" s="152"/>
      <c r="G101" s="152"/>
    </row>
    <row r="102" spans="3:7" x14ac:dyDescent="0.35">
      <c r="C102" s="152" t="s">
        <v>269</v>
      </c>
      <c r="D102" s="257">
        <f>SUM(D83:D101)</f>
        <v>57570.839999999989</v>
      </c>
      <c r="E102" s="153"/>
      <c r="F102" s="152"/>
      <c r="G102" s="152"/>
    </row>
  </sheetData>
  <mergeCells count="9">
    <mergeCell ref="A78:G78"/>
    <mergeCell ref="A48:G48"/>
    <mergeCell ref="A63:G63"/>
    <mergeCell ref="A64:G64"/>
    <mergeCell ref="A1:G1"/>
    <mergeCell ref="A62:G62"/>
    <mergeCell ref="A47:G47"/>
    <mergeCell ref="A2:G2"/>
    <mergeCell ref="A77:G77"/>
  </mergeCells>
  <printOptions horizontalCentered="1"/>
  <pageMargins left="0.45" right="0.25" top="0.5" bottom="0.5" header="0.3" footer="0.3"/>
  <pageSetup scale="96" orientation="portrait" horizontalDpi="4294967293" r:id="rId1"/>
  <rowBreaks count="2" manualBreakCount="2">
    <brk id="45" max="16383" man="1"/>
    <brk id="46" max="16383" man="1"/>
  </rowBreaks>
  <ignoredErrors>
    <ignoredError sqref="D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EF004-73BD-4C2A-85DA-B682B48EA656}">
  <sheetPr>
    <tabColor rgb="FF92D050"/>
    <pageSetUpPr fitToPage="1"/>
  </sheetPr>
  <dimension ref="A1:O33"/>
  <sheetViews>
    <sheetView showGridLines="0" topLeftCell="B1" workbookViewId="0">
      <selection sqref="A1:J28"/>
    </sheetView>
  </sheetViews>
  <sheetFormatPr defaultColWidth="8.84375" defaultRowHeight="15.5" x14ac:dyDescent="0.35"/>
  <cols>
    <col min="1" max="1" width="7.765625" style="147" customWidth="1"/>
    <col min="2" max="2" width="10.23046875" style="147" customWidth="1"/>
    <col min="3" max="3" width="10.3828125" style="147" customWidth="1"/>
    <col min="4" max="5" width="10.4609375" style="147" customWidth="1"/>
    <col min="6" max="6" width="13.3046875" style="147" customWidth="1"/>
    <col min="7" max="7" width="11.15234375" style="147" customWidth="1"/>
    <col min="8" max="9" width="10.4609375" style="147" customWidth="1"/>
    <col min="10" max="10" width="13.69140625" style="147" customWidth="1"/>
    <col min="11" max="13" width="10.4609375" style="147" customWidth="1"/>
    <col min="14" max="14" width="17.3828125" style="147" bestFit="1" customWidth="1"/>
    <col min="15" max="15" width="10.765625" style="147" bestFit="1" customWidth="1"/>
    <col min="16" max="16384" width="8.84375" style="147"/>
  </cols>
  <sheetData>
    <row r="1" spans="1:15" ht="21" x14ac:dyDescent="0.5">
      <c r="A1" s="384" t="s">
        <v>231</v>
      </c>
      <c r="B1" s="384"/>
      <c r="C1" s="384"/>
      <c r="D1" s="384"/>
      <c r="E1" s="384"/>
      <c r="F1" s="384"/>
      <c r="G1" s="384"/>
      <c r="H1" s="384"/>
    </row>
    <row r="2" spans="1:15" ht="18.5" x14ac:dyDescent="0.35">
      <c r="A2" s="361" t="str">
        <f>'Debt Service'!B5</f>
        <v>Levee Road Water Association</v>
      </c>
      <c r="B2" s="361"/>
      <c r="C2" s="361"/>
      <c r="D2" s="361"/>
      <c r="E2" s="361"/>
      <c r="F2" s="361"/>
      <c r="G2" s="361"/>
      <c r="H2" s="361"/>
    </row>
    <row r="3" spans="1:15" x14ac:dyDescent="0.35">
      <c r="A3" s="24"/>
      <c r="B3" s="25"/>
      <c r="C3" s="25"/>
      <c r="D3" s="25"/>
      <c r="E3" s="25"/>
      <c r="F3" s="25"/>
      <c r="G3" s="25"/>
      <c r="H3" s="25"/>
    </row>
    <row r="4" spans="1:15" x14ac:dyDescent="0.35">
      <c r="A4" s="1"/>
      <c r="C4" s="385" t="s">
        <v>44</v>
      </c>
      <c r="D4" s="385"/>
      <c r="E4" s="385"/>
      <c r="F4" s="385"/>
      <c r="G4" s="227"/>
      <c r="H4" s="1"/>
    </row>
    <row r="5" spans="1:15" x14ac:dyDescent="0.35">
      <c r="A5" s="1"/>
      <c r="B5" s="168" t="s">
        <v>156</v>
      </c>
      <c r="D5" s="220" t="s">
        <v>48</v>
      </c>
      <c r="E5" s="220" t="s">
        <v>49</v>
      </c>
      <c r="F5" s="221" t="s">
        <v>52</v>
      </c>
      <c r="G5" s="221"/>
      <c r="H5" s="21"/>
      <c r="I5" s="151"/>
      <c r="O5" s="323"/>
    </row>
    <row r="6" spans="1:15" x14ac:dyDescent="0.35">
      <c r="A6" s="1"/>
      <c r="B6" s="1" t="s">
        <v>126</v>
      </c>
      <c r="D6" s="2">
        <f>C20</f>
        <v>10576</v>
      </c>
      <c r="E6" s="158">
        <f>I20</f>
        <v>46135100</v>
      </c>
      <c r="F6" s="159">
        <f>F28</f>
        <v>445355.04500000004</v>
      </c>
      <c r="G6" s="159"/>
      <c r="H6" s="160"/>
      <c r="I6" s="161"/>
      <c r="J6" s="162"/>
      <c r="L6" s="148"/>
      <c r="M6" s="148"/>
      <c r="N6" s="148"/>
      <c r="O6" s="323"/>
    </row>
    <row r="7" spans="1:15" x14ac:dyDescent="0.35">
      <c r="A7" s="1"/>
      <c r="B7" s="1" t="s">
        <v>224</v>
      </c>
      <c r="D7" s="2"/>
      <c r="E7" s="158"/>
      <c r="F7" s="159">
        <f>E7*Rates!D19</f>
        <v>0</v>
      </c>
      <c r="G7" s="159"/>
      <c r="H7" s="160"/>
      <c r="I7" s="161"/>
      <c r="J7" s="162"/>
      <c r="L7" s="148"/>
      <c r="M7" s="148"/>
      <c r="N7" s="148"/>
      <c r="O7" s="323"/>
    </row>
    <row r="8" spans="1:15" ht="15" customHeight="1" x14ac:dyDescent="0.5">
      <c r="A8" s="1"/>
      <c r="B8" s="1" t="s">
        <v>157</v>
      </c>
      <c r="D8" s="158"/>
      <c r="E8" s="158"/>
      <c r="F8" s="218">
        <v>-9371.2000000000007</v>
      </c>
      <c r="G8" s="218"/>
      <c r="H8" s="1" t="s">
        <v>313</v>
      </c>
      <c r="L8" s="148"/>
      <c r="M8" s="148"/>
      <c r="N8" s="148"/>
      <c r="O8" s="323"/>
    </row>
    <row r="9" spans="1:15" x14ac:dyDescent="0.35">
      <c r="A9" s="1"/>
      <c r="B9" s="164" t="s">
        <v>177</v>
      </c>
      <c r="D9" s="158"/>
      <c r="E9" s="158"/>
      <c r="F9" s="163">
        <f>SUM(F6:F8)</f>
        <v>435983.84500000003</v>
      </c>
      <c r="G9" s="163"/>
      <c r="H9" s="1"/>
      <c r="O9" s="323"/>
    </row>
    <row r="10" spans="1:15" ht="16" x14ac:dyDescent="0.5">
      <c r="A10" s="1"/>
      <c r="B10" s="164" t="s">
        <v>223</v>
      </c>
      <c r="D10" s="158"/>
      <c r="E10" s="158"/>
      <c r="F10" s="176">
        <f>SAO!D7</f>
        <v>444032</v>
      </c>
      <c r="G10" s="176"/>
      <c r="H10" s="1"/>
      <c r="O10" s="323"/>
    </row>
    <row r="11" spans="1:15" x14ac:dyDescent="0.35">
      <c r="A11" s="1"/>
      <c r="B11" s="164" t="s">
        <v>158</v>
      </c>
      <c r="D11" s="158"/>
      <c r="E11" s="158"/>
      <c r="F11" s="163">
        <f>F9-F10</f>
        <v>-8048.1549999999697</v>
      </c>
      <c r="G11" s="163"/>
      <c r="H11" s="1" t="s">
        <v>159</v>
      </c>
      <c r="K11" s="219"/>
      <c r="O11" s="323"/>
    </row>
    <row r="12" spans="1:15" x14ac:dyDescent="0.35">
      <c r="A12" s="1"/>
      <c r="B12" s="1"/>
      <c r="C12" s="19"/>
      <c r="D12" s="159"/>
      <c r="E12" s="1"/>
      <c r="F12" s="1"/>
      <c r="G12" s="1"/>
      <c r="H12" s="1"/>
      <c r="O12" s="324"/>
    </row>
    <row r="13" spans="1:15" x14ac:dyDescent="0.35">
      <c r="A13" s="149" t="s">
        <v>127</v>
      </c>
      <c r="B13" s="1"/>
      <c r="C13" s="1"/>
      <c r="D13" s="1"/>
      <c r="E13" s="1"/>
      <c r="F13" s="1"/>
      <c r="G13" s="1"/>
      <c r="H13" s="1"/>
      <c r="O13" s="323"/>
    </row>
    <row r="14" spans="1:15" x14ac:dyDescent="0.35">
      <c r="A14" s="1"/>
      <c r="B14" s="1"/>
      <c r="C14" s="1"/>
      <c r="D14" s="21"/>
      <c r="E14" s="21" t="s">
        <v>45</v>
      </c>
      <c r="F14" s="21" t="s">
        <v>128</v>
      </c>
      <c r="G14" s="21" t="s">
        <v>128</v>
      </c>
      <c r="H14" s="21" t="s">
        <v>46</v>
      </c>
      <c r="I14" s="1"/>
    </row>
    <row r="15" spans="1:15" x14ac:dyDescent="0.35">
      <c r="A15" s="1"/>
      <c r="B15" s="21" t="s">
        <v>47</v>
      </c>
      <c r="C15" s="157" t="s">
        <v>48</v>
      </c>
      <c r="D15" s="165" t="s">
        <v>49</v>
      </c>
      <c r="E15" s="157">
        <f>B16</f>
        <v>2000</v>
      </c>
      <c r="F15" s="157">
        <f>B17</f>
        <v>5000</v>
      </c>
      <c r="G15" s="157">
        <f>B18</f>
        <v>13000</v>
      </c>
      <c r="H15" s="157">
        <f>B19</f>
        <v>20000</v>
      </c>
      <c r="I15" s="21" t="s">
        <v>50</v>
      </c>
    </row>
    <row r="16" spans="1:15" x14ac:dyDescent="0.35">
      <c r="A16" s="22" t="s">
        <v>45</v>
      </c>
      <c r="B16" s="166">
        <v>2000</v>
      </c>
      <c r="C16" s="23">
        <f>3842+4</f>
        <v>3846</v>
      </c>
      <c r="D16" s="23">
        <f>3804460+5300</f>
        <v>3809760</v>
      </c>
      <c r="E16" s="23">
        <f>D16</f>
        <v>3809760</v>
      </c>
      <c r="F16" s="23">
        <v>0</v>
      </c>
      <c r="G16" s="23">
        <v>0</v>
      </c>
      <c r="H16" s="23">
        <v>0</v>
      </c>
      <c r="I16" s="23">
        <f>SUM(E16:H16)</f>
        <v>3809760</v>
      </c>
    </row>
    <row r="17" spans="1:12" x14ac:dyDescent="0.35">
      <c r="A17" s="22" t="s">
        <v>128</v>
      </c>
      <c r="B17" s="167">
        <v>5000</v>
      </c>
      <c r="C17" s="23">
        <f>5584+2</f>
        <v>5586</v>
      </c>
      <c r="D17" s="23">
        <f>20609180+11500</f>
        <v>20620680</v>
      </c>
      <c r="E17" s="23">
        <f>C17*B16</f>
        <v>11172000</v>
      </c>
      <c r="F17" s="23">
        <f>D17-E17</f>
        <v>9448680</v>
      </c>
      <c r="G17" s="23">
        <v>0</v>
      </c>
      <c r="H17" s="23">
        <v>0</v>
      </c>
      <c r="I17" s="23">
        <f>SUM(E17:H17)</f>
        <v>20620680</v>
      </c>
    </row>
    <row r="18" spans="1:12" x14ac:dyDescent="0.35">
      <c r="A18" s="22" t="s">
        <v>128</v>
      </c>
      <c r="B18" s="167">
        <v>13000</v>
      </c>
      <c r="C18" s="23">
        <f>972+1</f>
        <v>973</v>
      </c>
      <c r="D18" s="23">
        <f>10136950+15000</f>
        <v>10151950</v>
      </c>
      <c r="E18" s="23">
        <f>C18*B16</f>
        <v>1946000</v>
      </c>
      <c r="F18" s="23">
        <f>C18*B17</f>
        <v>4865000</v>
      </c>
      <c r="G18" s="23">
        <f>D18-E18-F18</f>
        <v>3340950</v>
      </c>
      <c r="H18" s="23">
        <v>0</v>
      </c>
      <c r="I18" s="23">
        <f>SUM(E18:H18)</f>
        <v>10151950</v>
      </c>
    </row>
    <row r="19" spans="1:12" x14ac:dyDescent="0.35">
      <c r="A19" s="22" t="s">
        <v>46</v>
      </c>
      <c r="B19" s="167">
        <v>20000</v>
      </c>
      <c r="C19" s="23">
        <f>166+5</f>
        <v>171</v>
      </c>
      <c r="D19" s="23">
        <f>11303910+248800</f>
        <v>11552710</v>
      </c>
      <c r="E19" s="23">
        <f>C19*B16</f>
        <v>342000</v>
      </c>
      <c r="F19" s="23">
        <f>C19*B17</f>
        <v>855000</v>
      </c>
      <c r="G19" s="23">
        <f>C19*B18</f>
        <v>2223000</v>
      </c>
      <c r="H19" s="23">
        <f>D19-E19-F19-G19</f>
        <v>8132710</v>
      </c>
      <c r="I19" s="23">
        <f>SUM(E19:H19)</f>
        <v>11552710</v>
      </c>
    </row>
    <row r="20" spans="1:12" x14ac:dyDescent="0.35">
      <c r="A20" s="22"/>
      <c r="B20" s="170" t="s">
        <v>50</v>
      </c>
      <c r="C20" s="23">
        <f t="shared" ref="C20:I20" si="0">SUM(C16:C19)</f>
        <v>10576</v>
      </c>
      <c r="D20" s="23">
        <f t="shared" si="0"/>
        <v>46135100</v>
      </c>
      <c r="E20" s="23">
        <f>SUM(E16:E19)</f>
        <v>17269760</v>
      </c>
      <c r="F20" s="23">
        <f t="shared" si="0"/>
        <v>15168680</v>
      </c>
      <c r="G20" s="23">
        <f t="shared" si="0"/>
        <v>5563950</v>
      </c>
      <c r="H20" s="23">
        <f t="shared" si="0"/>
        <v>8132710</v>
      </c>
      <c r="I20" s="23">
        <f t="shared" si="0"/>
        <v>46135100</v>
      </c>
    </row>
    <row r="21" spans="1:12" x14ac:dyDescent="0.35">
      <c r="A21" s="22"/>
      <c r="B21" s="167"/>
      <c r="C21" s="1"/>
      <c r="D21" s="167"/>
      <c r="E21" s="167"/>
      <c r="F21" s="167"/>
      <c r="G21" s="167"/>
      <c r="H21" s="167"/>
    </row>
    <row r="22" spans="1:12" x14ac:dyDescent="0.35">
      <c r="A22" s="168" t="s">
        <v>129</v>
      </c>
      <c r="B22" s="168"/>
      <c r="C22" s="1"/>
      <c r="D22" s="167"/>
      <c r="E22" s="167"/>
      <c r="F22" s="167"/>
      <c r="G22" s="167"/>
      <c r="H22" s="167"/>
    </row>
    <row r="23" spans="1:12" ht="29" x14ac:dyDescent="0.35">
      <c r="A23" s="22"/>
      <c r="B23" s="1"/>
      <c r="C23" s="157" t="s">
        <v>48</v>
      </c>
      <c r="D23" s="169" t="s">
        <v>130</v>
      </c>
      <c r="E23" s="169" t="s">
        <v>51</v>
      </c>
      <c r="F23" s="169" t="s">
        <v>52</v>
      </c>
      <c r="G23" s="169"/>
      <c r="H23" s="1"/>
    </row>
    <row r="24" spans="1:12" x14ac:dyDescent="0.35">
      <c r="A24" s="22" t="s">
        <v>45</v>
      </c>
      <c r="B24" s="167">
        <f>B16</f>
        <v>2000</v>
      </c>
      <c r="C24" s="171">
        <f>C20</f>
        <v>10576</v>
      </c>
      <c r="D24" s="23">
        <f>E20</f>
        <v>17269760</v>
      </c>
      <c r="E24" s="32">
        <f>Rates!D11</f>
        <v>23.25</v>
      </c>
      <c r="F24" s="32">
        <f>C24*E24</f>
        <v>245892</v>
      </c>
      <c r="G24" s="32"/>
      <c r="H24" s="1"/>
    </row>
    <row r="25" spans="1:12" x14ac:dyDescent="0.35">
      <c r="A25" s="22" t="s">
        <v>128</v>
      </c>
      <c r="B25" s="167">
        <f>B17</f>
        <v>5000</v>
      </c>
      <c r="C25" s="171"/>
      <c r="D25" s="23">
        <f>F20</f>
        <v>15168680</v>
      </c>
      <c r="E25" s="302">
        <f>Rates!D12</f>
        <v>8.0000000000000002E-3</v>
      </c>
      <c r="F25" s="32">
        <f>(D25)*E25</f>
        <v>121349.44</v>
      </c>
      <c r="G25" s="32"/>
      <c r="H25" s="1"/>
      <c r="L25" s="251" t="s">
        <v>228</v>
      </c>
    </row>
    <row r="26" spans="1:12" x14ac:dyDescent="0.35">
      <c r="A26" s="22" t="s">
        <v>128</v>
      </c>
      <c r="B26" s="167">
        <f>B18</f>
        <v>13000</v>
      </c>
      <c r="C26" s="171"/>
      <c r="D26" s="23">
        <f>G20</f>
        <v>5563950</v>
      </c>
      <c r="E26" s="302">
        <f>Rates!D13</f>
        <v>6.0000000000000001E-3</v>
      </c>
      <c r="F26" s="32">
        <f>(D26)*E26</f>
        <v>33383.699999999997</v>
      </c>
      <c r="G26" s="32"/>
      <c r="H26" s="1"/>
    </row>
    <row r="27" spans="1:12" ht="16" x14ac:dyDescent="0.5">
      <c r="A27" s="22" t="s">
        <v>46</v>
      </c>
      <c r="B27" s="167">
        <f>B19</f>
        <v>20000</v>
      </c>
      <c r="C27" s="172"/>
      <c r="D27" s="249">
        <f>H20</f>
        <v>8132710</v>
      </c>
      <c r="E27" s="302">
        <f>Rates!D14</f>
        <v>5.4999999999999997E-3</v>
      </c>
      <c r="F27" s="250">
        <f>(D27)*E27</f>
        <v>44729.904999999999</v>
      </c>
      <c r="G27" s="32"/>
      <c r="H27" s="1"/>
    </row>
    <row r="28" spans="1:12" x14ac:dyDescent="0.35">
      <c r="A28" s="22"/>
      <c r="B28" s="170" t="s">
        <v>50</v>
      </c>
      <c r="C28" s="23">
        <f>SUM(C24:C27)</f>
        <v>10576</v>
      </c>
      <c r="D28" s="23">
        <f>SUM(D24:D27)</f>
        <v>46135100</v>
      </c>
      <c r="E28" s="23"/>
      <c r="F28" s="173">
        <f>SUM(F24:F27)</f>
        <v>445355.04500000004</v>
      </c>
      <c r="G28" s="173"/>
      <c r="H28" s="1"/>
    </row>
    <row r="29" spans="1:12" x14ac:dyDescent="0.35">
      <c r="A29" s="1"/>
      <c r="B29" s="1"/>
      <c r="C29" s="1"/>
      <c r="D29" s="1"/>
      <c r="E29" s="1"/>
      <c r="F29" s="1"/>
      <c r="G29" s="1"/>
      <c r="H29" s="1"/>
    </row>
    <row r="30" spans="1:12" x14ac:dyDescent="0.35">
      <c r="A30" s="149"/>
      <c r="B30" s="1"/>
      <c r="C30" s="1"/>
      <c r="D30" s="1"/>
      <c r="E30" s="1"/>
      <c r="F30" s="1"/>
      <c r="G30" s="1"/>
      <c r="H30" s="1"/>
    </row>
    <row r="31" spans="1:12" x14ac:dyDescent="0.35">
      <c r="A31" s="1"/>
      <c r="B31" s="1"/>
      <c r="C31" s="1"/>
      <c r="D31" s="1"/>
      <c r="E31" s="1"/>
      <c r="F31" s="1"/>
      <c r="G31" s="1"/>
      <c r="H31" s="1"/>
    </row>
    <row r="32" spans="1:12" x14ac:dyDescent="0.35">
      <c r="A32" s="1"/>
      <c r="B32" s="1"/>
      <c r="C32" s="21"/>
      <c r="D32" s="169"/>
      <c r="E32" s="157"/>
      <c r="F32" s="157"/>
      <c r="G32" s="157"/>
      <c r="H32" s="1"/>
      <c r="I32" s="1"/>
    </row>
    <row r="33" spans="3:7" s="150" customFormat="1" ht="14.5" x14ac:dyDescent="0.35">
      <c r="C33" s="174"/>
      <c r="D33" s="222"/>
      <c r="E33" s="175"/>
      <c r="F33" s="175"/>
      <c r="G33" s="175"/>
    </row>
  </sheetData>
  <mergeCells count="3">
    <mergeCell ref="A1:H1"/>
    <mergeCell ref="A2:H2"/>
    <mergeCell ref="C4:F4"/>
  </mergeCells>
  <pageMargins left="0.7" right="0.7" top="0.75" bottom="0.75" header="0.3" footer="0.3"/>
  <pageSetup scale="62"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B1388-AB01-4CAE-A21B-D2708C228A39}">
  <sheetPr>
    <tabColor rgb="FF92D050"/>
    <pageSetUpPr fitToPage="1"/>
  </sheetPr>
  <dimension ref="A1:M35"/>
  <sheetViews>
    <sheetView showGridLines="0" topLeftCell="A29" workbookViewId="0">
      <selection activeCell="G4" sqref="G4"/>
    </sheetView>
  </sheetViews>
  <sheetFormatPr defaultColWidth="8.84375" defaultRowHeight="15.5" x14ac:dyDescent="0.35"/>
  <cols>
    <col min="1" max="1" width="7.765625" style="147" customWidth="1"/>
    <col min="2" max="2" width="8.23046875" style="147" customWidth="1"/>
    <col min="3" max="3" width="14.53515625" style="147" customWidth="1"/>
    <col min="4" max="5" width="10.4609375" style="147" customWidth="1"/>
    <col min="6" max="6" width="11.4609375" style="147" bestFit="1" customWidth="1"/>
    <col min="7" max="7" width="11.15234375" style="147" customWidth="1"/>
    <col min="8" max="9" width="10.4609375" style="147" customWidth="1"/>
    <col min="10" max="10" width="12" style="147" customWidth="1"/>
    <col min="11" max="11" width="11.61328125" style="147" bestFit="1" customWidth="1"/>
    <col min="12" max="12" width="10.4609375" style="147" customWidth="1"/>
    <col min="13" max="13" width="13.07421875" style="147" customWidth="1"/>
    <col min="14" max="16384" width="8.84375" style="147"/>
  </cols>
  <sheetData>
    <row r="1" spans="1:13" ht="21" x14ac:dyDescent="0.5">
      <c r="A1" s="384" t="s">
        <v>351</v>
      </c>
      <c r="B1" s="384"/>
      <c r="C1" s="384"/>
      <c r="D1" s="384"/>
      <c r="E1" s="384"/>
      <c r="F1" s="384"/>
      <c r="G1" s="384"/>
      <c r="H1" s="384"/>
    </row>
    <row r="2" spans="1:13" ht="18.5" x14ac:dyDescent="0.35">
      <c r="A2" s="361" t="str">
        <f>'Debt Service'!B5</f>
        <v>Levee Road Water Association</v>
      </c>
      <c r="B2" s="361"/>
      <c r="C2" s="361"/>
      <c r="D2" s="361"/>
      <c r="E2" s="361"/>
      <c r="F2" s="361"/>
      <c r="G2" s="361"/>
      <c r="H2" s="361"/>
    </row>
    <row r="3" spans="1:13" x14ac:dyDescent="0.35">
      <c r="A3" s="24"/>
      <c r="B3" s="25"/>
      <c r="C3" s="25"/>
      <c r="D3" s="25"/>
      <c r="E3" s="25"/>
      <c r="F3" s="25"/>
      <c r="G3" s="25"/>
      <c r="H3" s="25"/>
    </row>
    <row r="4" spans="1:13" x14ac:dyDescent="0.35">
      <c r="A4" s="1"/>
      <c r="C4" s="385" t="s">
        <v>44</v>
      </c>
      <c r="D4" s="385"/>
      <c r="E4" s="385"/>
      <c r="F4" s="385"/>
      <c r="G4" s="227"/>
      <c r="H4" s="1"/>
    </row>
    <row r="5" spans="1:13" x14ac:dyDescent="0.35">
      <c r="A5" s="1"/>
      <c r="B5" s="168" t="s">
        <v>156</v>
      </c>
      <c r="D5" s="220" t="s">
        <v>48</v>
      </c>
      <c r="E5" s="220" t="s">
        <v>49</v>
      </c>
      <c r="F5" s="221" t="s">
        <v>52</v>
      </c>
      <c r="G5" s="221"/>
      <c r="H5" s="21"/>
      <c r="I5" s="151"/>
    </row>
    <row r="6" spans="1:13" x14ac:dyDescent="0.35">
      <c r="A6" s="1"/>
      <c r="B6" s="1" t="s">
        <v>126</v>
      </c>
      <c r="D6" s="2">
        <f>C20</f>
        <v>10576</v>
      </c>
      <c r="E6" s="158">
        <f>I20</f>
        <v>46135100</v>
      </c>
      <c r="F6" s="159">
        <f>F28</f>
        <v>508266.445007</v>
      </c>
      <c r="G6" s="159"/>
      <c r="H6" s="160"/>
      <c r="I6" s="161"/>
      <c r="J6" s="162"/>
      <c r="L6" s="148"/>
      <c r="M6" s="148"/>
    </row>
    <row r="7" spans="1:13" ht="15.75" customHeight="1" x14ac:dyDescent="0.35">
      <c r="A7" s="1"/>
      <c r="B7" s="1" t="s">
        <v>224</v>
      </c>
      <c r="D7" s="2"/>
      <c r="E7" s="158"/>
      <c r="F7" s="159">
        <f>E7*Rates!E19</f>
        <v>0</v>
      </c>
      <c r="G7" s="159"/>
      <c r="H7" s="160"/>
      <c r="I7" s="161"/>
      <c r="J7" s="162"/>
      <c r="L7" s="148"/>
      <c r="M7" s="148"/>
    </row>
    <row r="8" spans="1:13" ht="15.75" customHeight="1" x14ac:dyDescent="0.5">
      <c r="A8" s="1"/>
      <c r="B8" s="1" t="s">
        <v>157</v>
      </c>
      <c r="D8" s="158"/>
      <c r="E8" s="158"/>
      <c r="F8" s="218">
        <v>-9371.2000000000007</v>
      </c>
      <c r="G8" s="218"/>
      <c r="H8" s="1" t="s">
        <v>313</v>
      </c>
      <c r="L8" s="148"/>
      <c r="M8" s="148"/>
    </row>
    <row r="9" spans="1:13" ht="15.75" customHeight="1" x14ac:dyDescent="0.35">
      <c r="A9" s="1"/>
      <c r="B9" s="164" t="s">
        <v>177</v>
      </c>
      <c r="D9" s="158"/>
      <c r="E9" s="158"/>
      <c r="F9" s="163">
        <f>SUM(F6:F8)</f>
        <v>498895.24500699999</v>
      </c>
      <c r="G9" s="163"/>
      <c r="H9" s="1"/>
      <c r="M9" s="148"/>
    </row>
    <row r="10" spans="1:13" ht="15.75" customHeight="1" x14ac:dyDescent="0.5">
      <c r="A10" s="1"/>
      <c r="B10" s="164" t="s">
        <v>338</v>
      </c>
      <c r="D10" s="158"/>
      <c r="E10" s="158"/>
      <c r="F10" s="176">
        <f>SAO!G56</f>
        <v>497571.46484877262</v>
      </c>
      <c r="G10" s="176"/>
      <c r="H10" s="1"/>
      <c r="M10" s="148"/>
    </row>
    <row r="11" spans="1:13" ht="15.75" customHeight="1" x14ac:dyDescent="0.35">
      <c r="A11" s="1"/>
      <c r="B11" s="164" t="s">
        <v>158</v>
      </c>
      <c r="D11" s="158"/>
      <c r="E11" s="158"/>
      <c r="F11" s="163">
        <f>F9-F10</f>
        <v>1323.7801582273678</v>
      </c>
      <c r="G11" s="163"/>
      <c r="H11" s="267"/>
      <c r="K11" s="219"/>
      <c r="M11" s="148"/>
    </row>
    <row r="12" spans="1:13" ht="15.75" customHeight="1" x14ac:dyDescent="0.35">
      <c r="A12" s="1"/>
      <c r="B12" s="1"/>
      <c r="C12" s="19"/>
      <c r="D12" s="159"/>
      <c r="E12" s="1"/>
      <c r="F12" s="1"/>
      <c r="G12" s="1"/>
      <c r="H12" s="1"/>
      <c r="M12" s="148"/>
    </row>
    <row r="13" spans="1:13" x14ac:dyDescent="0.35">
      <c r="A13" s="149" t="s">
        <v>127</v>
      </c>
      <c r="B13" s="1"/>
      <c r="C13" s="1"/>
      <c r="D13" s="1"/>
      <c r="E13" s="1"/>
      <c r="F13" s="1"/>
      <c r="G13" s="1"/>
      <c r="H13" s="1"/>
    </row>
    <row r="14" spans="1:13" x14ac:dyDescent="0.35">
      <c r="A14" s="1"/>
      <c r="B14" s="1"/>
      <c r="C14" s="1"/>
      <c r="D14" s="21"/>
      <c r="E14" s="21" t="s">
        <v>45</v>
      </c>
      <c r="F14" s="21" t="s">
        <v>128</v>
      </c>
      <c r="G14" s="21" t="s">
        <v>128</v>
      </c>
      <c r="H14" s="21" t="s">
        <v>46</v>
      </c>
      <c r="I14" s="1"/>
    </row>
    <row r="15" spans="1:13" x14ac:dyDescent="0.35">
      <c r="A15" s="1"/>
      <c r="B15" s="21" t="s">
        <v>47</v>
      </c>
      <c r="C15" s="157" t="s">
        <v>48</v>
      </c>
      <c r="D15" s="165" t="s">
        <v>49</v>
      </c>
      <c r="E15" s="157">
        <f>B16</f>
        <v>2000</v>
      </c>
      <c r="F15" s="157">
        <f>B17</f>
        <v>5000</v>
      </c>
      <c r="G15" s="157">
        <f>B18</f>
        <v>13000</v>
      </c>
      <c r="H15" s="157">
        <f>B19</f>
        <v>20000</v>
      </c>
      <c r="I15" s="21" t="s">
        <v>50</v>
      </c>
    </row>
    <row r="16" spans="1:13" x14ac:dyDescent="0.35">
      <c r="A16" s="22" t="s">
        <v>45</v>
      </c>
      <c r="B16" s="166">
        <v>2000</v>
      </c>
      <c r="C16" s="23">
        <f>3842+4</f>
        <v>3846</v>
      </c>
      <c r="D16" s="23">
        <f>3804460+5300</f>
        <v>3809760</v>
      </c>
      <c r="E16" s="23">
        <f>D16</f>
        <v>3809760</v>
      </c>
      <c r="F16" s="23">
        <v>0</v>
      </c>
      <c r="G16" s="23">
        <v>0</v>
      </c>
      <c r="H16" s="23">
        <v>0</v>
      </c>
      <c r="I16" s="23">
        <f>SUM(E16:H16)</f>
        <v>3809760</v>
      </c>
    </row>
    <row r="17" spans="1:10" x14ac:dyDescent="0.35">
      <c r="A17" s="22" t="s">
        <v>128</v>
      </c>
      <c r="B17" s="167">
        <v>5000</v>
      </c>
      <c r="C17" s="23">
        <f>5584+2</f>
        <v>5586</v>
      </c>
      <c r="D17" s="23">
        <f>20609180+11500</f>
        <v>20620680</v>
      </c>
      <c r="E17" s="23">
        <f>C17*B16</f>
        <v>11172000</v>
      </c>
      <c r="F17" s="23">
        <f>D17-E17</f>
        <v>9448680</v>
      </c>
      <c r="G17" s="23">
        <v>0</v>
      </c>
      <c r="H17" s="23">
        <v>0</v>
      </c>
      <c r="I17" s="23">
        <f>SUM(E17:H17)</f>
        <v>20620680</v>
      </c>
    </row>
    <row r="18" spans="1:10" x14ac:dyDescent="0.35">
      <c r="A18" s="22" t="s">
        <v>128</v>
      </c>
      <c r="B18" s="167">
        <v>13000</v>
      </c>
      <c r="C18" s="23">
        <f>972+1</f>
        <v>973</v>
      </c>
      <c r="D18" s="23">
        <f>10136950+15000</f>
        <v>10151950</v>
      </c>
      <c r="E18" s="23">
        <f>C18*B16</f>
        <v>1946000</v>
      </c>
      <c r="F18" s="23">
        <f>C18*B17</f>
        <v>4865000</v>
      </c>
      <c r="G18" s="23">
        <f>D18-E18-F18</f>
        <v>3340950</v>
      </c>
      <c r="H18" s="23">
        <v>0</v>
      </c>
      <c r="I18" s="23">
        <f>SUM(E18:H18)</f>
        <v>10151950</v>
      </c>
    </row>
    <row r="19" spans="1:10" x14ac:dyDescent="0.35">
      <c r="A19" s="22" t="s">
        <v>46</v>
      </c>
      <c r="B19" s="167">
        <v>20000</v>
      </c>
      <c r="C19" s="23">
        <f>166+5</f>
        <v>171</v>
      </c>
      <c r="D19" s="23">
        <f>11303910+248800</f>
        <v>11552710</v>
      </c>
      <c r="E19" s="23">
        <f>C19*B16</f>
        <v>342000</v>
      </c>
      <c r="F19" s="23">
        <f>C19*B17</f>
        <v>855000</v>
      </c>
      <c r="G19" s="23">
        <f>C19*B18</f>
        <v>2223000</v>
      </c>
      <c r="H19" s="23">
        <f>D19-E19-F19-G19</f>
        <v>8132710</v>
      </c>
      <c r="I19" s="23">
        <f>SUM(E19:H19)</f>
        <v>11552710</v>
      </c>
    </row>
    <row r="20" spans="1:10" x14ac:dyDescent="0.35">
      <c r="A20" s="22"/>
      <c r="B20" s="170" t="s">
        <v>50</v>
      </c>
      <c r="C20" s="23">
        <f t="shared" ref="C20:I20" si="0">SUM(C16:C19)</f>
        <v>10576</v>
      </c>
      <c r="D20" s="23">
        <f t="shared" si="0"/>
        <v>46135100</v>
      </c>
      <c r="E20" s="23">
        <f>SUM(E16:E19)</f>
        <v>17269760</v>
      </c>
      <c r="F20" s="23">
        <f t="shared" si="0"/>
        <v>15168680</v>
      </c>
      <c r="G20" s="23">
        <f t="shared" si="0"/>
        <v>5563950</v>
      </c>
      <c r="H20" s="23">
        <f t="shared" si="0"/>
        <v>8132710</v>
      </c>
      <c r="I20" s="23">
        <f t="shared" si="0"/>
        <v>46135100</v>
      </c>
    </row>
    <row r="21" spans="1:10" x14ac:dyDescent="0.35">
      <c r="A21" s="22"/>
      <c r="B21" s="167"/>
      <c r="C21" s="1"/>
      <c r="D21" s="167"/>
      <c r="E21" s="167"/>
      <c r="F21" s="167"/>
      <c r="G21" s="167"/>
      <c r="H21" s="167"/>
    </row>
    <row r="22" spans="1:10" x14ac:dyDescent="0.35">
      <c r="A22" s="168" t="s">
        <v>129</v>
      </c>
      <c r="B22" s="168"/>
      <c r="C22" s="1"/>
      <c r="D22" s="167"/>
      <c r="E22" s="167"/>
      <c r="F22" s="167"/>
      <c r="G22" s="167"/>
      <c r="H22" s="167"/>
    </row>
    <row r="23" spans="1:10" ht="29" x14ac:dyDescent="0.35">
      <c r="A23" s="22"/>
      <c r="B23" s="1"/>
      <c r="C23" s="157" t="s">
        <v>48</v>
      </c>
      <c r="D23" s="169" t="s">
        <v>130</v>
      </c>
      <c r="E23" s="169" t="s">
        <v>51</v>
      </c>
      <c r="F23" s="169" t="s">
        <v>52</v>
      </c>
      <c r="G23" s="169"/>
      <c r="H23" s="1"/>
    </row>
    <row r="24" spans="1:10" x14ac:dyDescent="0.35">
      <c r="A24" s="22" t="s">
        <v>45</v>
      </c>
      <c r="B24" s="167">
        <f>B16</f>
        <v>2000</v>
      </c>
      <c r="C24" s="171">
        <f>C20</f>
        <v>10576</v>
      </c>
      <c r="D24" s="23">
        <f>E20</f>
        <v>17269760</v>
      </c>
      <c r="E24" s="32">
        <f>Rates!E11</f>
        <v>26.534320000000001</v>
      </c>
      <c r="F24" s="32">
        <f>C24*E24</f>
        <v>280626.96831999999</v>
      </c>
      <c r="G24" s="32"/>
      <c r="H24" s="1"/>
    </row>
    <row r="25" spans="1:10" x14ac:dyDescent="0.35">
      <c r="A25" s="22" t="s">
        <v>128</v>
      </c>
      <c r="B25" s="167">
        <f>B17</f>
        <v>5000</v>
      </c>
      <c r="C25" s="171"/>
      <c r="D25" s="23">
        <f>F20</f>
        <v>15168680</v>
      </c>
      <c r="E25" s="302">
        <f>Rates!E12</f>
        <v>9.1301000000000004E-3</v>
      </c>
      <c r="F25" s="32">
        <f>(D25)*E25</f>
        <v>138491.56526800001</v>
      </c>
      <c r="G25" s="32"/>
      <c r="H25" s="1"/>
      <c r="J25" s="251"/>
    </row>
    <row r="26" spans="1:10" x14ac:dyDescent="0.35">
      <c r="A26" s="22" t="s">
        <v>128</v>
      </c>
      <c r="B26" s="167">
        <f>B18</f>
        <v>13000</v>
      </c>
      <c r="C26" s="171"/>
      <c r="D26" s="23">
        <f>G20</f>
        <v>5563950</v>
      </c>
      <c r="E26" s="302">
        <f>Rates!E13</f>
        <v>6.8475999999999997E-3</v>
      </c>
      <c r="F26" s="32">
        <f>(D26)*E26</f>
        <v>38099.704019999997</v>
      </c>
      <c r="G26" s="32"/>
      <c r="H26" s="1"/>
    </row>
    <row r="27" spans="1:10" ht="16" x14ac:dyDescent="0.5">
      <c r="A27" s="22" t="s">
        <v>46</v>
      </c>
      <c r="B27" s="167">
        <f>B19</f>
        <v>20000</v>
      </c>
      <c r="C27" s="172"/>
      <c r="D27" s="249">
        <f>H20</f>
        <v>8132710</v>
      </c>
      <c r="E27" s="302">
        <f>Rates!E14</f>
        <v>6.2769000000000002E-3</v>
      </c>
      <c r="F27" s="250">
        <f>(D27)*E27</f>
        <v>51048.207398999999</v>
      </c>
      <c r="G27" s="32"/>
      <c r="H27" s="1"/>
    </row>
    <row r="28" spans="1:10" x14ac:dyDescent="0.35">
      <c r="A28" s="22"/>
      <c r="B28" s="170" t="s">
        <v>50</v>
      </c>
      <c r="C28" s="23">
        <f>SUM(C24:C27)</f>
        <v>10576</v>
      </c>
      <c r="D28" s="23">
        <f>SUM(D24:D27)</f>
        <v>46135100</v>
      </c>
      <c r="E28" s="23"/>
      <c r="F28" s="173">
        <f>SUM(F24:F27)</f>
        <v>508266.445007</v>
      </c>
      <c r="G28" s="173"/>
      <c r="H28" s="1"/>
    </row>
    <row r="29" spans="1:10" x14ac:dyDescent="0.35">
      <c r="A29" s="22"/>
      <c r="B29" s="167"/>
      <c r="C29" s="172"/>
      <c r="D29" s="2"/>
      <c r="E29" s="32"/>
      <c r="F29" s="32"/>
      <c r="G29" s="32"/>
      <c r="H29" s="1"/>
    </row>
    <row r="30" spans="1:10" x14ac:dyDescent="0.35">
      <c r="A30" s="22"/>
      <c r="B30" s="170"/>
      <c r="C30" s="23"/>
      <c r="D30" s="23"/>
      <c r="E30" s="23"/>
      <c r="F30" s="173"/>
      <c r="G30" s="173"/>
      <c r="H30" s="1"/>
    </row>
    <row r="31" spans="1:10" x14ac:dyDescent="0.35">
      <c r="A31" s="1"/>
      <c r="B31" s="1"/>
      <c r="C31" s="1"/>
      <c r="D31" s="1"/>
      <c r="E31" s="1"/>
      <c r="F31" s="1"/>
      <c r="G31" s="1"/>
      <c r="H31" s="1"/>
    </row>
    <row r="32" spans="1:10" x14ac:dyDescent="0.35">
      <c r="A32" s="149"/>
      <c r="B32" s="1"/>
      <c r="C32" s="1"/>
      <c r="D32" s="1"/>
      <c r="E32" s="1"/>
      <c r="F32" s="1"/>
      <c r="G32" s="1"/>
      <c r="H32" s="1"/>
    </row>
    <row r="33" spans="1:9" x14ac:dyDescent="0.35">
      <c r="A33" s="1"/>
      <c r="B33" s="1"/>
      <c r="C33" s="1"/>
      <c r="D33" s="1"/>
      <c r="E33" s="1"/>
      <c r="F33" s="1"/>
      <c r="G33" s="1"/>
      <c r="H33" s="1"/>
    </row>
    <row r="34" spans="1:9" x14ac:dyDescent="0.35">
      <c r="A34" s="1"/>
      <c r="B34" s="1"/>
      <c r="C34" s="21"/>
      <c r="D34" s="169"/>
      <c r="E34" s="157"/>
      <c r="F34" s="157"/>
      <c r="G34" s="157"/>
      <c r="H34" s="1"/>
      <c r="I34" s="1"/>
    </row>
    <row r="35" spans="1:9" s="150" customFormat="1" ht="14.5" x14ac:dyDescent="0.35">
      <c r="C35" s="174"/>
      <c r="D35" s="174"/>
      <c r="E35" s="175"/>
      <c r="F35" s="175"/>
      <c r="G35" s="175"/>
    </row>
  </sheetData>
  <mergeCells count="3">
    <mergeCell ref="A1:H1"/>
    <mergeCell ref="A2:H2"/>
    <mergeCell ref="C4:F4"/>
  </mergeCells>
  <pageMargins left="0.7" right="0.7" top="0.75" bottom="0.75" header="0.3" footer="0.3"/>
  <pageSetup scale="81"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A48BB-F532-4492-80AA-E3E399DCB458}">
  <sheetPr>
    <tabColor rgb="FF92D050"/>
  </sheetPr>
  <dimension ref="B1:D41"/>
  <sheetViews>
    <sheetView showGridLines="0" workbookViewId="0">
      <selection activeCell="B2" sqref="B2:C26"/>
    </sheetView>
  </sheetViews>
  <sheetFormatPr defaultRowHeight="15.5" x14ac:dyDescent="0.35"/>
  <cols>
    <col min="2" max="2" width="4.07421875" style="241" customWidth="1"/>
    <col min="3" max="3" width="86.3828125" style="238" customWidth="1"/>
    <col min="4" max="4" width="2" bestFit="1" customWidth="1"/>
  </cols>
  <sheetData>
    <row r="1" spans="2:4" ht="18" x14ac:dyDescent="0.4">
      <c r="C1" s="246"/>
    </row>
    <row r="2" spans="2:4" ht="18" x14ac:dyDescent="0.4">
      <c r="C2" s="246" t="s">
        <v>327</v>
      </c>
    </row>
    <row r="3" spans="2:4" ht="17.5" x14ac:dyDescent="0.35">
      <c r="C3" s="245"/>
    </row>
    <row r="4" spans="2:4" x14ac:dyDescent="0.35">
      <c r="B4" s="242" t="s">
        <v>195</v>
      </c>
      <c r="C4" s="243" t="s">
        <v>305</v>
      </c>
      <c r="D4" s="244"/>
    </row>
    <row r="5" spans="2:4" x14ac:dyDescent="0.35">
      <c r="B5" s="242"/>
      <c r="C5" s="243"/>
      <c r="D5" s="244"/>
    </row>
    <row r="6" spans="2:4" x14ac:dyDescent="0.35">
      <c r="B6" s="242" t="s">
        <v>196</v>
      </c>
      <c r="C6" s="243" t="s">
        <v>306</v>
      </c>
    </row>
    <row r="7" spans="2:4" x14ac:dyDescent="0.35">
      <c r="B7" s="242"/>
      <c r="C7" s="243"/>
    </row>
    <row r="8" spans="2:4" ht="62" x14ac:dyDescent="0.35">
      <c r="B8" s="242" t="s">
        <v>339</v>
      </c>
      <c r="C8" s="243" t="s">
        <v>315</v>
      </c>
    </row>
    <row r="9" spans="2:4" x14ac:dyDescent="0.35">
      <c r="B9" s="242"/>
      <c r="C9" s="243"/>
    </row>
    <row r="10" spans="2:4" ht="31" x14ac:dyDescent="0.35">
      <c r="B10" s="242" t="s">
        <v>154</v>
      </c>
      <c r="C10" s="243" t="s">
        <v>316</v>
      </c>
    </row>
    <row r="11" spans="2:4" x14ac:dyDescent="0.35">
      <c r="B11" s="242"/>
      <c r="C11" s="243"/>
    </row>
    <row r="12" spans="2:4" ht="31" x14ac:dyDescent="0.35">
      <c r="B12" s="242" t="s">
        <v>155</v>
      </c>
      <c r="C12" s="243" t="s">
        <v>317</v>
      </c>
    </row>
    <row r="13" spans="2:4" x14ac:dyDescent="0.35">
      <c r="B13" s="242"/>
      <c r="C13" s="243"/>
    </row>
    <row r="14" spans="2:4" ht="31" x14ac:dyDescent="0.35">
      <c r="B14" s="242" t="s">
        <v>340</v>
      </c>
      <c r="C14" s="243" t="s">
        <v>335</v>
      </c>
    </row>
    <row r="15" spans="2:4" x14ac:dyDescent="0.35">
      <c r="B15" s="242"/>
      <c r="C15" s="243"/>
    </row>
    <row r="16" spans="2:4" ht="31" x14ac:dyDescent="0.35">
      <c r="B16" s="242" t="s">
        <v>181</v>
      </c>
      <c r="C16" s="243" t="s">
        <v>341</v>
      </c>
    </row>
    <row r="17" spans="2:3" x14ac:dyDescent="0.35">
      <c r="B17" s="242"/>
      <c r="C17" s="243"/>
    </row>
    <row r="18" spans="2:3" ht="31" x14ac:dyDescent="0.35">
      <c r="B18" s="242" t="s">
        <v>342</v>
      </c>
      <c r="C18" s="238" t="s">
        <v>320</v>
      </c>
    </row>
    <row r="19" spans="2:3" x14ac:dyDescent="0.35">
      <c r="B19" s="242"/>
    </row>
    <row r="20" spans="2:3" ht="62" x14ac:dyDescent="0.35">
      <c r="B20" s="242" t="s">
        <v>180</v>
      </c>
      <c r="C20" s="243" t="s">
        <v>318</v>
      </c>
    </row>
    <row r="21" spans="2:3" x14ac:dyDescent="0.35">
      <c r="B21" s="242"/>
      <c r="C21" s="243"/>
    </row>
    <row r="22" spans="2:3" x14ac:dyDescent="0.35">
      <c r="B22" s="241" t="s">
        <v>185</v>
      </c>
      <c r="C22" s="243" t="s">
        <v>319</v>
      </c>
    </row>
    <row r="23" spans="2:3" x14ac:dyDescent="0.35">
      <c r="B23" s="242"/>
      <c r="C23" s="243"/>
    </row>
    <row r="24" spans="2:3" ht="31" x14ac:dyDescent="0.35">
      <c r="B24" s="241" t="s">
        <v>197</v>
      </c>
      <c r="C24" s="243" t="s">
        <v>350</v>
      </c>
    </row>
    <row r="25" spans="2:3" x14ac:dyDescent="0.35">
      <c r="B25" s="242"/>
    </row>
    <row r="26" spans="2:3" x14ac:dyDescent="0.35">
      <c r="B26" s="241" t="s">
        <v>198</v>
      </c>
      <c r="C26" s="238" t="s">
        <v>343</v>
      </c>
    </row>
    <row r="27" spans="2:3" x14ac:dyDescent="0.35">
      <c r="B27" s="242"/>
      <c r="C27" s="243"/>
    </row>
    <row r="29" spans="2:3" x14ac:dyDescent="0.35">
      <c r="B29" s="242"/>
    </row>
    <row r="31" spans="2:3" x14ac:dyDescent="0.35">
      <c r="B31" s="242"/>
    </row>
    <row r="33" spans="2:2" x14ac:dyDescent="0.35">
      <c r="B33" s="242"/>
    </row>
    <row r="35" spans="2:2" x14ac:dyDescent="0.35">
      <c r="B35" s="242"/>
    </row>
    <row r="37" spans="2:2" x14ac:dyDescent="0.35">
      <c r="B37" s="242"/>
    </row>
    <row r="39" spans="2:2" x14ac:dyDescent="0.35">
      <c r="B39" s="242"/>
    </row>
    <row r="41" spans="2:2" x14ac:dyDescent="0.35">
      <c r="B41" s="24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7A01C-7852-4E95-BD91-257134D74ABD}">
  <sheetPr>
    <tabColor rgb="FF92D050"/>
    <pageSetUpPr fitToPage="1"/>
  </sheetPr>
  <dimension ref="A1:L45"/>
  <sheetViews>
    <sheetView workbookViewId="0">
      <selection activeCell="L30" sqref="L30"/>
    </sheetView>
  </sheetViews>
  <sheetFormatPr defaultColWidth="8.84375" defaultRowHeight="14.5" x14ac:dyDescent="0.35"/>
  <cols>
    <col min="1" max="1" width="11.53515625" style="1" bestFit="1" customWidth="1"/>
    <col min="2" max="2" width="20.61328125" style="1" customWidth="1"/>
    <col min="3" max="6" width="12.61328125" style="15" customWidth="1"/>
    <col min="7" max="7" width="15.61328125" style="15" customWidth="1"/>
    <col min="8" max="8" width="12.61328125" style="15" customWidth="1"/>
    <col min="9" max="9" width="8.84375" style="22"/>
    <col min="10" max="10" width="8.84375" style="1"/>
    <col min="11" max="11" width="10.765625" style="1" customWidth="1"/>
    <col min="12" max="16384" width="8.84375" style="1"/>
  </cols>
  <sheetData>
    <row r="1" spans="1:12" x14ac:dyDescent="0.35">
      <c r="B1" s="1" t="s">
        <v>72</v>
      </c>
    </row>
    <row r="2" spans="1:12" x14ac:dyDescent="0.35">
      <c r="C2" s="154"/>
      <c r="D2" s="154"/>
      <c r="E2" s="154"/>
      <c r="F2" s="154" t="s">
        <v>240</v>
      </c>
      <c r="G2" s="154"/>
      <c r="H2" s="154" t="s">
        <v>11</v>
      </c>
    </row>
    <row r="3" spans="1:12" x14ac:dyDescent="0.35">
      <c r="C3" s="154" t="s">
        <v>73</v>
      </c>
      <c r="D3" s="154" t="s">
        <v>73</v>
      </c>
      <c r="E3" s="154" t="s">
        <v>74</v>
      </c>
      <c r="F3" s="154" t="s">
        <v>73</v>
      </c>
      <c r="G3" s="234" t="s">
        <v>73</v>
      </c>
      <c r="H3" s="154" t="s">
        <v>73</v>
      </c>
      <c r="J3" s="21"/>
      <c r="K3" s="233"/>
    </row>
    <row r="4" spans="1:12" x14ac:dyDescent="0.35">
      <c r="B4" s="1" t="s">
        <v>75</v>
      </c>
      <c r="C4" s="154" t="s">
        <v>76</v>
      </c>
      <c r="D4" s="154" t="s">
        <v>77</v>
      </c>
      <c r="E4" s="154" t="s">
        <v>78</v>
      </c>
      <c r="F4" s="154" t="s">
        <v>79</v>
      </c>
      <c r="G4" s="234" t="s">
        <v>199</v>
      </c>
      <c r="H4" s="154" t="s">
        <v>80</v>
      </c>
      <c r="J4" s="234"/>
      <c r="K4" s="234"/>
    </row>
    <row r="5" spans="1:12" x14ac:dyDescent="0.35">
      <c r="E5" s="215"/>
      <c r="J5" s="309"/>
    </row>
    <row r="6" spans="1:12" x14ac:dyDescent="0.35">
      <c r="A6" s="1" t="s">
        <v>239</v>
      </c>
      <c r="B6" s="1" t="s">
        <v>238</v>
      </c>
      <c r="C6" s="15" t="s">
        <v>347</v>
      </c>
      <c r="D6" s="15">
        <v>0</v>
      </c>
      <c r="E6" s="215">
        <v>0</v>
      </c>
      <c r="F6" s="15">
        <v>30000</v>
      </c>
      <c r="H6" s="15">
        <f>F6+G6</f>
        <v>30000</v>
      </c>
      <c r="J6" s="235"/>
      <c r="K6" s="15"/>
      <c r="L6" s="236"/>
    </row>
    <row r="7" spans="1:12" x14ac:dyDescent="0.35">
      <c r="C7" s="223"/>
      <c r="D7" s="223"/>
      <c r="E7" s="264"/>
      <c r="F7" s="223"/>
      <c r="G7" s="223"/>
      <c r="H7" s="223"/>
      <c r="I7" s="156"/>
      <c r="J7" s="235"/>
      <c r="K7" s="15"/>
      <c r="L7" s="236"/>
    </row>
    <row r="8" spans="1:12" x14ac:dyDescent="0.35">
      <c r="A8" s="1" t="s">
        <v>348</v>
      </c>
      <c r="B8" s="1" t="s">
        <v>349</v>
      </c>
      <c r="C8" s="223" t="s">
        <v>347</v>
      </c>
      <c r="D8" s="223">
        <v>0</v>
      </c>
      <c r="E8" s="215">
        <v>0</v>
      </c>
      <c r="F8" s="15">
        <v>17892</v>
      </c>
      <c r="H8" s="15">
        <f t="shared" ref="H8" si="0">F8+G8</f>
        <v>17892</v>
      </c>
      <c r="J8" s="235"/>
      <c r="K8" s="15"/>
      <c r="L8" s="236"/>
    </row>
    <row r="9" spans="1:12" x14ac:dyDescent="0.35">
      <c r="C9" s="223"/>
      <c r="D9" s="223"/>
      <c r="E9" s="215"/>
      <c r="H9" s="44"/>
      <c r="J9" s="235"/>
      <c r="K9" s="15"/>
      <c r="L9" s="236"/>
    </row>
    <row r="10" spans="1:12" x14ac:dyDescent="0.35">
      <c r="B10" s="1" t="s">
        <v>152</v>
      </c>
      <c r="E10" s="215"/>
      <c r="H10" s="215">
        <f>SUM(H5:H9)</f>
        <v>47892</v>
      </c>
    </row>
    <row r="12" spans="1:12" x14ac:dyDescent="0.35">
      <c r="B12" s="1" t="s">
        <v>153</v>
      </c>
      <c r="C12" s="223"/>
      <c r="H12" s="15">
        <v>0</v>
      </c>
    </row>
    <row r="14" spans="1:12" x14ac:dyDescent="0.35">
      <c r="C14" s="154"/>
      <c r="D14" s="154"/>
      <c r="E14" s="154"/>
      <c r="F14" s="154"/>
      <c r="G14" s="1"/>
      <c r="H14" s="234" t="s">
        <v>73</v>
      </c>
      <c r="J14" s="21"/>
      <c r="K14" s="233"/>
    </row>
    <row r="15" spans="1:12" x14ac:dyDescent="0.35">
      <c r="B15" s="265" t="s">
        <v>200</v>
      </c>
      <c r="C15" s="154"/>
      <c r="D15" s="154"/>
      <c r="E15" s="154"/>
      <c r="F15" s="154"/>
      <c r="G15" s="1"/>
      <c r="H15" s="266" t="s">
        <v>278</v>
      </c>
      <c r="J15" s="234"/>
      <c r="K15" s="234"/>
    </row>
    <row r="16" spans="1:12" x14ac:dyDescent="0.35">
      <c r="A16" s="1" t="s">
        <v>242</v>
      </c>
      <c r="B16" s="1" t="s">
        <v>241</v>
      </c>
      <c r="C16" s="1"/>
      <c r="E16" s="215"/>
      <c r="G16" s="1"/>
      <c r="H16" s="15">
        <v>2400</v>
      </c>
      <c r="J16" s="235"/>
    </row>
    <row r="17" spans="1:9" x14ac:dyDescent="0.35">
      <c r="B17" s="1" t="s">
        <v>243</v>
      </c>
      <c r="H17" s="15">
        <v>2400</v>
      </c>
    </row>
    <row r="18" spans="1:9" x14ac:dyDescent="0.35">
      <c r="B18" s="1" t="s">
        <v>244</v>
      </c>
      <c r="H18" s="15">
        <v>2400</v>
      </c>
    </row>
    <row r="19" spans="1:9" x14ac:dyDescent="0.35">
      <c r="A19" s="1" t="s">
        <v>246</v>
      </c>
      <c r="B19" s="1" t="s">
        <v>245</v>
      </c>
      <c r="H19" s="15">
        <v>2550</v>
      </c>
    </row>
    <row r="20" spans="1:9" x14ac:dyDescent="0.35">
      <c r="A20" s="1" t="s">
        <v>247</v>
      </c>
      <c r="B20" s="1" t="s">
        <v>248</v>
      </c>
      <c r="C20" s="1"/>
      <c r="G20" s="1"/>
      <c r="H20" s="44">
        <v>2600</v>
      </c>
    </row>
    <row r="21" spans="1:9" x14ac:dyDescent="0.35">
      <c r="C21" s="1"/>
      <c r="G21" s="1"/>
      <c r="H21" s="15">
        <f>SUM(H16:H20)</f>
        <v>12350</v>
      </c>
    </row>
    <row r="23" spans="1:9" x14ac:dyDescent="0.35">
      <c r="H23" s="154" t="s">
        <v>27</v>
      </c>
    </row>
    <row r="24" spans="1:9" x14ac:dyDescent="0.35">
      <c r="E24" s="15" t="s">
        <v>81</v>
      </c>
      <c r="H24" s="15">
        <f>H10</f>
        <v>47892</v>
      </c>
    </row>
    <row r="25" spans="1:9" x14ac:dyDescent="0.35">
      <c r="E25" s="15" t="s">
        <v>82</v>
      </c>
      <c r="H25" s="44">
        <f>-SAO!D18</f>
        <v>-40038</v>
      </c>
    </row>
    <row r="26" spans="1:9" x14ac:dyDescent="0.35">
      <c r="E26" s="15" t="s">
        <v>201</v>
      </c>
      <c r="H26" s="15">
        <f>H24+H25</f>
        <v>7854</v>
      </c>
      <c r="I26" s="21"/>
    </row>
    <row r="27" spans="1:9" x14ac:dyDescent="0.35">
      <c r="H27" s="15" t="s">
        <v>83</v>
      </c>
      <c r="I27" s="21"/>
    </row>
    <row r="28" spans="1:9" x14ac:dyDescent="0.35">
      <c r="E28" s="15" t="s">
        <v>192</v>
      </c>
      <c r="H28" s="15">
        <f>H10+H21</f>
        <v>60242</v>
      </c>
      <c r="I28" s="21"/>
    </row>
    <row r="29" spans="1:9" x14ac:dyDescent="0.35">
      <c r="E29" s="15" t="s">
        <v>84</v>
      </c>
      <c r="H29" s="155">
        <v>7.6499999999999999E-2</v>
      </c>
      <c r="I29" s="21"/>
    </row>
    <row r="30" spans="1:9" x14ac:dyDescent="0.35">
      <c r="E30" s="15" t="s">
        <v>85</v>
      </c>
      <c r="H30" s="15">
        <f>H28*H29</f>
        <v>4608.5129999999999</v>
      </c>
      <c r="I30" s="21"/>
    </row>
    <row r="31" spans="1:9" x14ac:dyDescent="0.35">
      <c r="E31" s="15" t="s">
        <v>86</v>
      </c>
      <c r="H31" s="224">
        <f>-SAO!D42</f>
        <v>-3189</v>
      </c>
      <c r="I31" s="21"/>
    </row>
    <row r="32" spans="1:9" x14ac:dyDescent="0.35">
      <c r="E32" s="15" t="s">
        <v>87</v>
      </c>
      <c r="H32" s="15">
        <f>H30+H31</f>
        <v>1419.5129999999999</v>
      </c>
      <c r="I32" s="21"/>
    </row>
    <row r="33" spans="2:9" x14ac:dyDescent="0.35">
      <c r="I33" s="21"/>
    </row>
    <row r="34" spans="2:9" x14ac:dyDescent="0.35">
      <c r="B34" s="15" t="s">
        <v>205</v>
      </c>
      <c r="C34" s="240">
        <v>2021</v>
      </c>
      <c r="D34" s="240">
        <v>2022</v>
      </c>
      <c r="I34" s="21"/>
    </row>
    <row r="35" spans="2:9" x14ac:dyDescent="0.35">
      <c r="B35" s="22" t="s">
        <v>206</v>
      </c>
      <c r="H35" s="44"/>
      <c r="I35" s="21"/>
    </row>
    <row r="36" spans="2:9" x14ac:dyDescent="0.35">
      <c r="B36" s="22" t="s">
        <v>207</v>
      </c>
      <c r="I36" s="21"/>
    </row>
    <row r="37" spans="2:9" x14ac:dyDescent="0.35">
      <c r="B37" s="22" t="s">
        <v>208</v>
      </c>
    </row>
    <row r="38" spans="2:9" x14ac:dyDescent="0.35">
      <c r="B38" s="22" t="s">
        <v>209</v>
      </c>
      <c r="C38" s="44"/>
      <c r="E38" s="234" t="s">
        <v>194</v>
      </c>
    </row>
    <row r="39" spans="2:9" x14ac:dyDescent="0.35">
      <c r="C39" s="15">
        <f>SUM(C35:C38)</f>
        <v>0</v>
      </c>
      <c r="D39" s="15">
        <f>SUM(D35:D38)</f>
        <v>0</v>
      </c>
      <c r="E39" s="15">
        <f>D39-C39</f>
        <v>0</v>
      </c>
    </row>
    <row r="45" spans="2:9" x14ac:dyDescent="0.35">
      <c r="C45" s="44"/>
    </row>
  </sheetData>
  <pageMargins left="0.7" right="0.7" top="0.75" bottom="0.75" header="0.3" footer="0.3"/>
  <pageSetup scale="68"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590D3-A7C3-4727-A9D4-F5C014E94ADB}">
  <sheetPr>
    <tabColor rgb="FF92D050"/>
    <pageSetUpPr fitToPage="1"/>
  </sheetPr>
  <dimension ref="A1:R69"/>
  <sheetViews>
    <sheetView showGridLines="0" topLeftCell="A22" workbookViewId="0">
      <selection activeCell="O45" sqref="O45"/>
    </sheetView>
  </sheetViews>
  <sheetFormatPr defaultRowHeight="15.5" x14ac:dyDescent="0.35"/>
  <cols>
    <col min="1" max="1" width="2" customWidth="1"/>
    <col min="2" max="2" width="1.84375" customWidth="1"/>
    <col min="3" max="3" width="1.765625" customWidth="1"/>
    <col min="4" max="4" width="27.4609375" style="1" customWidth="1"/>
    <col min="5" max="5" width="8.3046875" style="1" customWidth="1"/>
    <col min="6" max="6" width="10.69140625" style="187" customWidth="1"/>
    <col min="7" max="7" width="9.3828125" style="1" bestFit="1" customWidth="1"/>
    <col min="8" max="8" width="9.3046875" style="183" customWidth="1"/>
    <col min="9" max="9" width="6.07421875" customWidth="1"/>
    <col min="10" max="10" width="9.3046875" style="183" customWidth="1"/>
    <col min="11" max="11" width="10.69140625" customWidth="1"/>
    <col min="12" max="12" width="1.84375" customWidth="1"/>
    <col min="13" max="13" width="2.4609375" customWidth="1"/>
    <col min="15" max="18" width="8.84375" style="1"/>
  </cols>
  <sheetData>
    <row r="1" spans="1:13" x14ac:dyDescent="0.35">
      <c r="A1" s="1"/>
      <c r="B1" s="1"/>
      <c r="C1" s="3"/>
      <c r="D1" s="3"/>
      <c r="E1" s="3"/>
      <c r="G1" s="136"/>
      <c r="H1" s="19"/>
      <c r="I1" s="136"/>
      <c r="J1" s="19"/>
      <c r="K1" s="3"/>
      <c r="L1" s="3"/>
      <c r="M1" s="3"/>
    </row>
    <row r="2" spans="1:13" x14ac:dyDescent="0.35">
      <c r="A2" s="1"/>
      <c r="B2" s="126"/>
      <c r="C2" s="128"/>
      <c r="D2" s="128"/>
      <c r="E2" s="128"/>
      <c r="F2" s="188"/>
      <c r="G2" s="137"/>
      <c r="H2" s="181"/>
      <c r="I2" s="137"/>
      <c r="J2" s="181"/>
      <c r="K2" s="128"/>
      <c r="L2" s="142"/>
      <c r="M2" s="145"/>
    </row>
    <row r="3" spans="1:13" ht="18.5" x14ac:dyDescent="0.45">
      <c r="A3" s="1"/>
      <c r="B3" s="55"/>
      <c r="C3" s="344" t="s">
        <v>213</v>
      </c>
      <c r="D3" s="344"/>
      <c r="E3" s="344"/>
      <c r="F3" s="344"/>
      <c r="G3" s="344"/>
      <c r="H3" s="344"/>
      <c r="I3" s="344"/>
      <c r="J3" s="344"/>
      <c r="K3" s="344"/>
      <c r="L3" s="143"/>
      <c r="M3" s="145"/>
    </row>
    <row r="4" spans="1:13" ht="18.5" x14ac:dyDescent="0.45">
      <c r="A4" s="1"/>
      <c r="B4" s="55"/>
      <c r="C4" s="345" t="s">
        <v>36</v>
      </c>
      <c r="D4" s="345"/>
      <c r="E4" s="345"/>
      <c r="F4" s="345"/>
      <c r="G4" s="345"/>
      <c r="H4" s="345"/>
      <c r="I4" s="345"/>
      <c r="J4" s="345"/>
      <c r="K4" s="345"/>
      <c r="L4" s="143"/>
      <c r="M4" s="145"/>
    </row>
    <row r="5" spans="1:13" x14ac:dyDescent="0.35">
      <c r="A5" s="1"/>
      <c r="B5" s="55"/>
      <c r="C5" s="346" t="str">
        <f>'Debt Service'!B5</f>
        <v>Levee Road Water Association</v>
      </c>
      <c r="D5" s="346"/>
      <c r="E5" s="346"/>
      <c r="F5" s="346"/>
      <c r="G5" s="346"/>
      <c r="H5" s="346"/>
      <c r="I5" s="346"/>
      <c r="J5" s="346"/>
      <c r="K5" s="346"/>
      <c r="L5" s="143"/>
      <c r="M5" s="145"/>
    </row>
    <row r="6" spans="1:13" x14ac:dyDescent="0.35">
      <c r="A6" s="1"/>
      <c r="B6" s="55"/>
      <c r="C6" s="3"/>
      <c r="D6" s="3"/>
      <c r="E6" s="3"/>
      <c r="G6" s="138"/>
      <c r="H6" s="19"/>
      <c r="I6" s="138"/>
      <c r="J6" s="19"/>
      <c r="K6" s="130" t="s">
        <v>37</v>
      </c>
      <c r="L6" s="143"/>
      <c r="M6" s="145"/>
    </row>
    <row r="7" spans="1:13" x14ac:dyDescent="0.35">
      <c r="A7" s="1"/>
      <c r="B7" s="55"/>
      <c r="C7" s="129"/>
      <c r="D7" s="129"/>
      <c r="E7" s="129" t="s">
        <v>38</v>
      </c>
      <c r="F7" s="189" t="s">
        <v>39</v>
      </c>
      <c r="G7" s="347" t="s">
        <v>124</v>
      </c>
      <c r="H7" s="347"/>
      <c r="I7" s="347" t="s">
        <v>29</v>
      </c>
      <c r="J7" s="347"/>
      <c r="K7" s="130" t="s">
        <v>40</v>
      </c>
      <c r="L7" s="143"/>
      <c r="M7" s="145"/>
    </row>
    <row r="8" spans="1:13" ht="17" x14ac:dyDescent="0.5">
      <c r="A8" s="1"/>
      <c r="B8" s="55"/>
      <c r="C8" s="130"/>
      <c r="D8" s="134" t="s">
        <v>104</v>
      </c>
      <c r="E8" s="130" t="s">
        <v>41</v>
      </c>
      <c r="F8" s="190" t="s">
        <v>123</v>
      </c>
      <c r="G8" s="27" t="s">
        <v>42</v>
      </c>
      <c r="H8" s="130" t="s">
        <v>43</v>
      </c>
      <c r="I8" s="27" t="s">
        <v>42</v>
      </c>
      <c r="J8" s="130" t="s">
        <v>43</v>
      </c>
      <c r="K8" s="130" t="s">
        <v>33</v>
      </c>
      <c r="L8" s="143"/>
      <c r="M8" s="145"/>
    </row>
    <row r="9" spans="1:13" x14ac:dyDescent="0.35">
      <c r="A9" s="1"/>
      <c r="B9" s="55"/>
      <c r="C9" s="131" t="s">
        <v>99</v>
      </c>
      <c r="D9" s="3"/>
      <c r="E9" s="135"/>
      <c r="G9" s="138"/>
      <c r="H9" s="172"/>
      <c r="I9" s="138"/>
      <c r="J9" s="172"/>
      <c r="K9" s="2"/>
      <c r="L9" s="143"/>
      <c r="M9" s="145"/>
    </row>
    <row r="10" spans="1:13" x14ac:dyDescent="0.35">
      <c r="A10" s="1"/>
      <c r="B10" s="55"/>
      <c r="C10" s="131"/>
      <c r="D10" s="3" t="s">
        <v>105</v>
      </c>
      <c r="E10" s="135">
        <v>44562</v>
      </c>
      <c r="F10" s="192">
        <v>475872.29</v>
      </c>
      <c r="G10" s="74">
        <v>40</v>
      </c>
      <c r="H10" s="171">
        <f>F10/G10</f>
        <v>11896.80725</v>
      </c>
      <c r="I10" s="138">
        <v>37.5</v>
      </c>
      <c r="J10" s="171">
        <f>F10/I10</f>
        <v>12689.927733333332</v>
      </c>
      <c r="K10" s="23">
        <f>J10-H10</f>
        <v>793.12048333333223</v>
      </c>
      <c r="L10" s="143"/>
      <c r="M10" s="145"/>
    </row>
    <row r="11" spans="1:13" x14ac:dyDescent="0.35">
      <c r="A11" s="1"/>
      <c r="B11" s="55"/>
      <c r="C11" s="131"/>
      <c r="D11" s="3" t="s">
        <v>202</v>
      </c>
      <c r="E11" s="135" t="s">
        <v>63</v>
      </c>
      <c r="F11" s="192">
        <v>7518.58</v>
      </c>
      <c r="G11" s="74">
        <v>5</v>
      </c>
      <c r="H11" s="171">
        <v>250.62</v>
      </c>
      <c r="I11" s="138">
        <v>10</v>
      </c>
      <c r="J11" s="171">
        <f>F11/I11</f>
        <v>751.85799999999995</v>
      </c>
      <c r="K11" s="23">
        <f>J11-H11</f>
        <v>501.23799999999994</v>
      </c>
      <c r="L11" s="143"/>
      <c r="M11" s="145"/>
    </row>
    <row r="12" spans="1:13" x14ac:dyDescent="0.35">
      <c r="A12" s="1"/>
      <c r="B12" s="55"/>
      <c r="C12" s="3"/>
      <c r="D12" s="3" t="s">
        <v>106</v>
      </c>
      <c r="E12" s="135" t="s">
        <v>63</v>
      </c>
      <c r="F12" s="192">
        <v>18313.22</v>
      </c>
      <c r="G12" s="74" t="s">
        <v>63</v>
      </c>
      <c r="H12" s="171">
        <v>1899.78</v>
      </c>
      <c r="I12" s="138">
        <v>22.5</v>
      </c>
      <c r="J12" s="171">
        <f>F12/I12</f>
        <v>813.92088888888895</v>
      </c>
      <c r="K12" s="23">
        <f>J12-H12</f>
        <v>-1085.8591111111109</v>
      </c>
      <c r="L12" s="143"/>
      <c r="M12" s="145"/>
    </row>
    <row r="13" spans="1:13" hidden="1" x14ac:dyDescent="0.35">
      <c r="A13" s="1"/>
      <c r="B13" s="55"/>
      <c r="C13" s="3"/>
      <c r="D13" s="3" t="s">
        <v>107</v>
      </c>
      <c r="E13" s="135"/>
      <c r="F13" s="192"/>
      <c r="G13" s="74"/>
      <c r="H13" s="171"/>
      <c r="I13" s="138">
        <v>12.5</v>
      </c>
      <c r="J13" s="171">
        <f t="shared" ref="J13:J15" si="0">F13/I13</f>
        <v>0</v>
      </c>
      <c r="K13" s="23">
        <f t="shared" ref="K13:K15" si="1">J13-H13</f>
        <v>0</v>
      </c>
      <c r="L13" s="143"/>
      <c r="M13" s="145"/>
    </row>
    <row r="14" spans="1:13" hidden="1" x14ac:dyDescent="0.35">
      <c r="A14" s="1"/>
      <c r="B14" s="55"/>
      <c r="C14" s="3"/>
      <c r="D14" s="3" t="s">
        <v>108</v>
      </c>
      <c r="E14" s="135" t="s">
        <v>63</v>
      </c>
      <c r="F14" s="192"/>
      <c r="G14" s="74" t="s">
        <v>125</v>
      </c>
      <c r="H14" s="171"/>
      <c r="I14" s="138">
        <v>17.5</v>
      </c>
      <c r="J14" s="171">
        <f t="shared" si="0"/>
        <v>0</v>
      </c>
      <c r="K14" s="23">
        <f t="shared" si="1"/>
        <v>0</v>
      </c>
      <c r="L14" s="143"/>
      <c r="M14" s="145"/>
    </row>
    <row r="15" spans="1:13" hidden="1" x14ac:dyDescent="0.35">
      <c r="A15" s="1"/>
      <c r="B15" s="55"/>
      <c r="C15" s="3"/>
      <c r="D15" s="3" t="s">
        <v>109</v>
      </c>
      <c r="E15" s="135"/>
      <c r="F15" s="192"/>
      <c r="G15" s="74"/>
      <c r="H15" s="171"/>
      <c r="I15" s="138">
        <v>15</v>
      </c>
      <c r="J15" s="171">
        <f t="shared" si="0"/>
        <v>0</v>
      </c>
      <c r="K15" s="23">
        <f t="shared" si="1"/>
        <v>0</v>
      </c>
      <c r="L15" s="143"/>
      <c r="M15" s="145"/>
    </row>
    <row r="16" spans="1:13" x14ac:dyDescent="0.35">
      <c r="A16" s="1"/>
      <c r="B16" s="55"/>
      <c r="C16" s="3"/>
      <c r="D16" s="3"/>
      <c r="E16" s="135"/>
      <c r="F16" s="192"/>
      <c r="G16" s="74"/>
      <c r="H16" s="171"/>
      <c r="I16" s="138"/>
      <c r="J16" s="171"/>
      <c r="K16" s="23"/>
      <c r="L16" s="143"/>
      <c r="M16" s="145"/>
    </row>
    <row r="17" spans="1:13" x14ac:dyDescent="0.35">
      <c r="A17" s="1"/>
      <c r="B17" s="55"/>
      <c r="C17" s="131" t="s">
        <v>166</v>
      </c>
      <c r="D17" s="3"/>
      <c r="E17" s="135"/>
      <c r="F17" s="192"/>
      <c r="G17" s="74"/>
      <c r="H17" s="171"/>
      <c r="I17" s="138"/>
      <c r="J17" s="171"/>
      <c r="K17" s="23"/>
      <c r="L17" s="143"/>
      <c r="M17" s="145"/>
    </row>
    <row r="18" spans="1:13" x14ac:dyDescent="0.35">
      <c r="A18" s="1"/>
      <c r="B18" s="55"/>
      <c r="C18" s="3"/>
      <c r="D18" s="3" t="s">
        <v>167</v>
      </c>
      <c r="E18" s="135">
        <v>32112</v>
      </c>
      <c r="F18" s="192">
        <v>5097</v>
      </c>
      <c r="G18" s="74">
        <v>50</v>
      </c>
      <c r="H18" s="171">
        <v>101.94</v>
      </c>
      <c r="I18" s="138">
        <v>62.5</v>
      </c>
      <c r="J18" s="171">
        <f t="shared" ref="J18:J19" si="2">F18/I18</f>
        <v>81.552000000000007</v>
      </c>
      <c r="K18" s="23">
        <f t="shared" ref="K18:K19" si="3">J18-H18</f>
        <v>-20.387999999999991</v>
      </c>
      <c r="L18" s="143"/>
      <c r="M18" s="145"/>
    </row>
    <row r="19" spans="1:13" hidden="1" x14ac:dyDescent="0.35">
      <c r="A19" s="1"/>
      <c r="B19" s="55"/>
      <c r="C19" s="3"/>
      <c r="D19" s="3" t="s">
        <v>168</v>
      </c>
      <c r="E19" s="135"/>
      <c r="F19" s="192"/>
      <c r="G19" s="74"/>
      <c r="H19" s="171"/>
      <c r="I19" s="138">
        <v>62.5</v>
      </c>
      <c r="J19" s="171">
        <f t="shared" si="2"/>
        <v>0</v>
      </c>
      <c r="K19" s="23">
        <f t="shared" si="3"/>
        <v>0</v>
      </c>
      <c r="L19" s="143"/>
      <c r="M19" s="145"/>
    </row>
    <row r="20" spans="1:13" x14ac:dyDescent="0.35">
      <c r="A20" s="1"/>
      <c r="B20" s="55"/>
      <c r="C20" s="130"/>
      <c r="D20" s="130"/>
      <c r="E20" s="130"/>
      <c r="F20" s="191"/>
      <c r="G20" s="27"/>
      <c r="H20" s="182"/>
      <c r="I20" s="27"/>
      <c r="J20" s="182"/>
      <c r="K20" s="130"/>
      <c r="L20" s="143"/>
      <c r="M20" s="145"/>
    </row>
    <row r="21" spans="1:13" x14ac:dyDescent="0.35">
      <c r="A21" s="1"/>
      <c r="B21" s="55"/>
      <c r="C21" s="131" t="s">
        <v>100</v>
      </c>
      <c r="D21" s="3"/>
      <c r="E21" s="135"/>
      <c r="G21" s="139"/>
      <c r="H21" s="172"/>
      <c r="I21" s="139"/>
      <c r="J21" s="172"/>
      <c r="K21" s="2"/>
      <c r="L21" s="143"/>
      <c r="M21" s="145"/>
    </row>
    <row r="22" spans="1:13" x14ac:dyDescent="0.35">
      <c r="A22" s="1"/>
      <c r="B22" s="55"/>
      <c r="C22" s="131"/>
      <c r="D22" s="3" t="s">
        <v>105</v>
      </c>
      <c r="E22" s="135">
        <v>40268</v>
      </c>
      <c r="F22" s="192">
        <v>55247</v>
      </c>
      <c r="G22" s="74">
        <v>40</v>
      </c>
      <c r="H22" s="171">
        <v>1381.18</v>
      </c>
      <c r="I22" s="138">
        <v>37.5</v>
      </c>
      <c r="J22" s="171">
        <f>F22/I22</f>
        <v>1473.2533333333333</v>
      </c>
      <c r="K22" s="23">
        <f>J22-H22</f>
        <v>92.073333333333267</v>
      </c>
      <c r="L22" s="143"/>
      <c r="M22" s="145"/>
    </row>
    <row r="23" spans="1:13" hidden="1" x14ac:dyDescent="0.35">
      <c r="A23" s="1"/>
      <c r="B23" s="55"/>
      <c r="C23" s="3"/>
      <c r="D23" s="3" t="s">
        <v>110</v>
      </c>
      <c r="E23" s="135"/>
      <c r="F23" s="192"/>
      <c r="G23" s="74"/>
      <c r="H23" s="171"/>
      <c r="I23" s="138">
        <v>10</v>
      </c>
      <c r="J23" s="172">
        <f>F23/I23</f>
        <v>0</v>
      </c>
      <c r="K23" s="23">
        <f>J23-H23</f>
        <v>0</v>
      </c>
      <c r="L23" s="143"/>
      <c r="M23" s="145"/>
    </row>
    <row r="24" spans="1:13" hidden="1" x14ac:dyDescent="0.35">
      <c r="A24" s="1"/>
      <c r="B24" s="55"/>
      <c r="C24" s="3"/>
      <c r="D24" s="3" t="s">
        <v>111</v>
      </c>
      <c r="E24" s="135"/>
      <c r="G24" s="139"/>
      <c r="H24" s="171"/>
      <c r="I24" s="138">
        <v>20</v>
      </c>
      <c r="J24" s="172">
        <f>F24/I24</f>
        <v>0</v>
      </c>
      <c r="K24" s="23">
        <f>J24-H24</f>
        <v>0</v>
      </c>
      <c r="L24" s="143"/>
      <c r="M24" s="145"/>
    </row>
    <row r="25" spans="1:13" x14ac:dyDescent="0.35">
      <c r="A25" s="1"/>
      <c r="B25" s="55"/>
      <c r="C25" s="130"/>
      <c r="D25" s="130"/>
      <c r="E25" s="130"/>
      <c r="G25" s="139"/>
      <c r="H25" s="172"/>
      <c r="I25" s="139"/>
      <c r="J25" s="172"/>
      <c r="K25" s="2"/>
      <c r="L25" s="143"/>
      <c r="M25" s="145"/>
    </row>
    <row r="26" spans="1:13" x14ac:dyDescent="0.35">
      <c r="A26" s="1"/>
      <c r="B26" s="55"/>
      <c r="C26" s="131" t="s">
        <v>101</v>
      </c>
      <c r="D26" s="3"/>
      <c r="E26" s="135"/>
      <c r="G26" s="138"/>
      <c r="H26" s="172"/>
      <c r="I26" s="138"/>
      <c r="J26" s="172"/>
      <c r="K26" s="2"/>
      <c r="L26" s="143"/>
      <c r="M26" s="145"/>
    </row>
    <row r="27" spans="1:13" x14ac:dyDescent="0.35">
      <c r="A27" s="1"/>
      <c r="B27" s="55"/>
      <c r="C27" s="131"/>
      <c r="D27" s="3" t="s">
        <v>112</v>
      </c>
      <c r="E27" s="135" t="s">
        <v>63</v>
      </c>
      <c r="F27" s="192">
        <v>5561</v>
      </c>
      <c r="G27" s="74" t="s">
        <v>125</v>
      </c>
      <c r="H27" s="171">
        <v>139.03</v>
      </c>
      <c r="I27" s="138">
        <v>50</v>
      </c>
      <c r="J27" s="171">
        <f t="shared" ref="J27:J35" si="4">F27/I27</f>
        <v>111.22</v>
      </c>
      <c r="K27" s="23">
        <f>J27-H27</f>
        <v>-27.810000000000002</v>
      </c>
      <c r="L27" s="143"/>
      <c r="M27" s="145"/>
    </row>
    <row r="28" spans="1:13" x14ac:dyDescent="0.35">
      <c r="A28" s="1"/>
      <c r="B28" s="55"/>
      <c r="C28" s="131"/>
      <c r="D28" s="3" t="s">
        <v>113</v>
      </c>
      <c r="E28" s="135" t="s">
        <v>63</v>
      </c>
      <c r="F28" s="192">
        <v>1928273.39</v>
      </c>
      <c r="G28" s="74" t="s">
        <v>125</v>
      </c>
      <c r="H28" s="171">
        <v>45586.47</v>
      </c>
      <c r="I28" s="138">
        <v>62.5</v>
      </c>
      <c r="J28" s="171">
        <f t="shared" si="4"/>
        <v>30852.374239999997</v>
      </c>
      <c r="K28" s="23">
        <f t="shared" ref="K28:K35" si="5">J28-H28</f>
        <v>-14734.095760000004</v>
      </c>
      <c r="L28" s="143"/>
      <c r="M28" s="145"/>
    </row>
    <row r="29" spans="1:13" x14ac:dyDescent="0.35">
      <c r="A29" s="1"/>
      <c r="B29" s="55"/>
      <c r="C29" s="131"/>
      <c r="D29" s="3" t="s">
        <v>114</v>
      </c>
      <c r="E29" s="135" t="s">
        <v>63</v>
      </c>
      <c r="F29" s="192">
        <v>448102</v>
      </c>
      <c r="G29" s="74" t="s">
        <v>125</v>
      </c>
      <c r="H29" s="171">
        <v>15543.2</v>
      </c>
      <c r="I29" s="138">
        <v>45</v>
      </c>
      <c r="J29" s="171">
        <f t="shared" si="4"/>
        <v>9957.822222222223</v>
      </c>
      <c r="K29" s="23">
        <f t="shared" si="5"/>
        <v>-5585.3777777777777</v>
      </c>
      <c r="L29" s="143"/>
      <c r="M29" s="145"/>
    </row>
    <row r="30" spans="1:13" hidden="1" x14ac:dyDescent="0.35">
      <c r="A30" s="1"/>
      <c r="B30" s="55"/>
      <c r="C30" s="131"/>
      <c r="D30" s="3" t="s">
        <v>115</v>
      </c>
      <c r="E30" s="135"/>
      <c r="F30" s="192"/>
      <c r="G30" s="74"/>
      <c r="H30" s="171"/>
      <c r="I30" s="138">
        <v>15</v>
      </c>
      <c r="J30" s="171">
        <f t="shared" si="4"/>
        <v>0</v>
      </c>
      <c r="K30" s="23">
        <f t="shared" si="5"/>
        <v>0</v>
      </c>
      <c r="L30" s="143"/>
      <c r="M30" s="145"/>
    </row>
    <row r="31" spans="1:13" hidden="1" x14ac:dyDescent="0.35">
      <c r="A31" s="1"/>
      <c r="B31" s="55"/>
      <c r="C31" s="131"/>
      <c r="D31" s="3" t="s">
        <v>116</v>
      </c>
      <c r="E31" s="135"/>
      <c r="F31" s="192"/>
      <c r="G31" s="74"/>
      <c r="H31" s="171"/>
      <c r="I31" s="138">
        <v>20</v>
      </c>
      <c r="J31" s="171">
        <f t="shared" si="4"/>
        <v>0</v>
      </c>
      <c r="K31" s="23">
        <f t="shared" si="5"/>
        <v>0</v>
      </c>
      <c r="L31" s="143"/>
      <c r="M31" s="145"/>
    </row>
    <row r="32" spans="1:13" hidden="1" x14ac:dyDescent="0.35">
      <c r="A32" s="1"/>
      <c r="B32" s="55"/>
      <c r="C32" s="131"/>
      <c r="D32" s="3" t="s">
        <v>117</v>
      </c>
      <c r="E32" s="135"/>
      <c r="F32" s="192"/>
      <c r="G32" s="74"/>
      <c r="H32" s="171"/>
      <c r="I32" s="138">
        <v>37.5</v>
      </c>
      <c r="J32" s="171">
        <v>0</v>
      </c>
      <c r="K32" s="23">
        <f t="shared" si="5"/>
        <v>0</v>
      </c>
      <c r="L32" s="143"/>
      <c r="M32" s="145"/>
    </row>
    <row r="33" spans="1:14" hidden="1" x14ac:dyDescent="0.35">
      <c r="A33" s="1"/>
      <c r="B33" s="55"/>
      <c r="C33" s="131"/>
      <c r="D33" s="3" t="s">
        <v>118</v>
      </c>
      <c r="E33" s="135"/>
      <c r="F33" s="192"/>
      <c r="G33" s="74"/>
      <c r="H33" s="171"/>
      <c r="I33" s="138">
        <v>40</v>
      </c>
      <c r="J33" s="171">
        <f t="shared" si="4"/>
        <v>0</v>
      </c>
      <c r="K33" s="23">
        <f t="shared" si="5"/>
        <v>0</v>
      </c>
      <c r="L33" s="143"/>
      <c r="M33" s="145"/>
    </row>
    <row r="34" spans="1:14" x14ac:dyDescent="0.35">
      <c r="A34" s="1"/>
      <c r="B34" s="55"/>
      <c r="C34" s="131"/>
      <c r="D34" s="3" t="s">
        <v>119</v>
      </c>
      <c r="E34" s="135" t="s">
        <v>63</v>
      </c>
      <c r="F34" s="192">
        <v>574363</v>
      </c>
      <c r="G34" s="74">
        <v>40</v>
      </c>
      <c r="H34" s="171">
        <v>14359.09</v>
      </c>
      <c r="I34" s="138">
        <v>45</v>
      </c>
      <c r="J34" s="171">
        <f t="shared" si="4"/>
        <v>12763.622222222222</v>
      </c>
      <c r="K34" s="23">
        <f t="shared" si="5"/>
        <v>-1595.4677777777779</v>
      </c>
      <c r="L34" s="143"/>
      <c r="M34" s="145"/>
    </row>
    <row r="35" spans="1:14" hidden="1" x14ac:dyDescent="0.35">
      <c r="A35" s="1"/>
      <c r="B35" s="55"/>
      <c r="C35" s="131"/>
      <c r="D35" s="3" t="s">
        <v>120</v>
      </c>
      <c r="F35" s="278"/>
      <c r="G35" s="279" t="s">
        <v>125</v>
      </c>
      <c r="H35" s="280"/>
      <c r="I35" s="281">
        <v>15</v>
      </c>
      <c r="J35" s="171">
        <f t="shared" si="4"/>
        <v>0</v>
      </c>
      <c r="K35" s="23">
        <f t="shared" si="5"/>
        <v>0</v>
      </c>
      <c r="L35" s="143"/>
      <c r="M35" s="145"/>
    </row>
    <row r="36" spans="1:14" x14ac:dyDescent="0.35">
      <c r="A36" s="1"/>
      <c r="B36" s="55"/>
      <c r="C36" s="131"/>
      <c r="E36" s="135"/>
      <c r="G36" s="282"/>
      <c r="H36" s="172"/>
      <c r="I36" s="282"/>
      <c r="J36" s="172"/>
      <c r="K36" s="23"/>
      <c r="L36" s="143"/>
      <c r="M36" s="145"/>
    </row>
    <row r="37" spans="1:14" hidden="1" x14ac:dyDescent="0.35">
      <c r="A37" s="1"/>
      <c r="B37" s="55"/>
      <c r="C37" s="131" t="s">
        <v>102</v>
      </c>
      <c r="E37" s="135"/>
      <c r="G37" s="281"/>
      <c r="H37" s="172"/>
      <c r="I37" s="283"/>
      <c r="J37" s="172"/>
      <c r="K37" s="2"/>
      <c r="L37" s="143"/>
      <c r="M37" s="145"/>
    </row>
    <row r="38" spans="1:14" hidden="1" x14ac:dyDescent="0.35">
      <c r="A38" s="1"/>
      <c r="B38" s="55"/>
      <c r="C38" s="3"/>
      <c r="D38" s="1" t="s">
        <v>121</v>
      </c>
      <c r="E38" s="135" t="s">
        <v>63</v>
      </c>
      <c r="G38" s="281" t="s">
        <v>125</v>
      </c>
      <c r="H38" s="172"/>
      <c r="I38" s="283">
        <v>7</v>
      </c>
      <c r="J38" s="172">
        <f>F38/I38</f>
        <v>0</v>
      </c>
      <c r="K38" s="2">
        <f>J38-H38</f>
        <v>0</v>
      </c>
      <c r="L38" s="143"/>
      <c r="M38" s="145"/>
    </row>
    <row r="39" spans="1:14" hidden="1" x14ac:dyDescent="0.35">
      <c r="A39" s="1"/>
      <c r="B39" s="55"/>
      <c r="C39" s="130"/>
      <c r="D39" s="130"/>
      <c r="E39" s="130"/>
      <c r="G39" s="282"/>
      <c r="H39" s="172"/>
      <c r="I39" s="282"/>
      <c r="J39" s="172"/>
      <c r="K39" s="2"/>
      <c r="L39" s="143"/>
      <c r="M39" s="145"/>
    </row>
    <row r="40" spans="1:14" hidden="1" x14ac:dyDescent="0.35">
      <c r="A40" s="1"/>
      <c r="B40" s="55"/>
      <c r="C40" s="131" t="s">
        <v>103</v>
      </c>
      <c r="D40" s="3"/>
      <c r="E40" s="135"/>
      <c r="G40" s="284"/>
      <c r="H40" s="172"/>
      <c r="I40" s="281"/>
      <c r="J40" s="172"/>
      <c r="K40" s="2"/>
      <c r="L40" s="143"/>
      <c r="M40" s="145"/>
    </row>
    <row r="41" spans="1:14" hidden="1" x14ac:dyDescent="0.35">
      <c r="A41" s="1"/>
      <c r="B41" s="55"/>
      <c r="C41" s="131"/>
      <c r="D41" s="1" t="s">
        <v>164</v>
      </c>
      <c r="E41" s="135"/>
      <c r="G41" s="281"/>
      <c r="H41" s="172"/>
      <c r="I41" s="283">
        <v>62.5</v>
      </c>
      <c r="J41" s="172">
        <f>F41/I41</f>
        <v>0</v>
      </c>
      <c r="K41" s="2">
        <f>J41-H41</f>
        <v>0</v>
      </c>
      <c r="L41" s="143"/>
      <c r="M41" s="145"/>
    </row>
    <row r="42" spans="1:14" hidden="1" x14ac:dyDescent="0.35">
      <c r="A42" s="1"/>
      <c r="B42" s="55"/>
      <c r="C42" s="131"/>
      <c r="D42" s="1" t="s">
        <v>165</v>
      </c>
      <c r="E42" s="135"/>
      <c r="G42" s="281"/>
      <c r="H42" s="172"/>
      <c r="I42" s="283">
        <v>27.5</v>
      </c>
      <c r="J42" s="172">
        <f>F42/I42</f>
        <v>0</v>
      </c>
      <c r="K42" s="2">
        <f>J42-H42</f>
        <v>0</v>
      </c>
      <c r="L42" s="143"/>
      <c r="M42" s="145"/>
    </row>
    <row r="43" spans="1:14" hidden="1" x14ac:dyDescent="0.35">
      <c r="A43" s="1"/>
      <c r="B43" s="55"/>
      <c r="C43" s="3"/>
      <c r="D43" s="3"/>
      <c r="E43" s="3"/>
      <c r="G43" s="2"/>
      <c r="H43" s="171"/>
      <c r="I43" s="2"/>
      <c r="J43" s="186"/>
      <c r="K43" s="2"/>
      <c r="L43" s="143"/>
      <c r="M43" s="145"/>
    </row>
    <row r="44" spans="1:14" x14ac:dyDescent="0.35">
      <c r="A44" s="1"/>
      <c r="B44" s="55"/>
      <c r="C44" s="132" t="s">
        <v>69</v>
      </c>
      <c r="F44" s="184">
        <f>SUM(F10:F43)</f>
        <v>3518347.48</v>
      </c>
      <c r="G44" s="140"/>
      <c r="H44" s="184">
        <f>SUM(H10:H43)</f>
        <v>91158.117249999996</v>
      </c>
      <c r="I44" s="141"/>
      <c r="J44" s="184">
        <f>SUM(J10:J43)</f>
        <v>69495.550640000001</v>
      </c>
      <c r="K44" s="141">
        <f>SUM(K10:K43)</f>
        <v>-21662.566610000002</v>
      </c>
      <c r="L44" s="143"/>
      <c r="M44" s="145"/>
      <c r="N44" s="21"/>
    </row>
    <row r="45" spans="1:14" x14ac:dyDescent="0.35">
      <c r="A45" s="1"/>
      <c r="B45" s="127"/>
      <c r="C45" s="133"/>
      <c r="D45" s="133"/>
      <c r="E45" s="133"/>
      <c r="F45" s="193"/>
      <c r="G45" s="133"/>
      <c r="H45" s="185"/>
      <c r="I45" s="133"/>
      <c r="J45" s="185"/>
      <c r="K45" s="133"/>
      <c r="L45" s="144"/>
      <c r="M45" s="146"/>
    </row>
    <row r="46" spans="1:14" x14ac:dyDescent="0.35">
      <c r="A46" s="1"/>
      <c r="B46" s="1"/>
      <c r="C46" s="3"/>
      <c r="D46" s="3"/>
      <c r="E46" s="3"/>
      <c r="G46" s="3"/>
      <c r="H46" s="186"/>
      <c r="I46" s="3"/>
      <c r="J46" s="186"/>
      <c r="K46" s="3"/>
      <c r="L46" s="3"/>
      <c r="M46" s="3"/>
    </row>
    <row r="47" spans="1:14" x14ac:dyDescent="0.35">
      <c r="D47" s="3" t="s">
        <v>122</v>
      </c>
    </row>
    <row r="50" spans="4:15" x14ac:dyDescent="0.35">
      <c r="D50" s="1" t="s">
        <v>169</v>
      </c>
      <c r="F50" s="187">
        <f>J44</f>
        <v>69495.550640000001</v>
      </c>
    </row>
    <row r="51" spans="4:15" ht="17" x14ac:dyDescent="0.5">
      <c r="D51" s="1" t="s">
        <v>170</v>
      </c>
      <c r="F51" s="194">
        <f>-SAO!D41</f>
        <v>-91158</v>
      </c>
      <c r="G51" s="1" t="s">
        <v>233</v>
      </c>
    </row>
    <row r="52" spans="4:15" x14ac:dyDescent="0.35">
      <c r="D52" s="1" t="s">
        <v>171</v>
      </c>
      <c r="F52" s="187">
        <f>F50+F51</f>
        <v>-21662.449359999999</v>
      </c>
      <c r="G52" s="21"/>
    </row>
    <row r="60" spans="4:15" x14ac:dyDescent="0.35">
      <c r="F60" s="1"/>
      <c r="G60" s="187"/>
      <c r="H60" s="1"/>
      <c r="I60" s="183"/>
      <c r="J60"/>
      <c r="K60" s="183"/>
      <c r="O60"/>
    </row>
    <row r="61" spans="4:15" x14ac:dyDescent="0.35">
      <c r="F61" s="1"/>
      <c r="G61" s="187"/>
      <c r="H61" s="1"/>
      <c r="I61" s="183"/>
      <c r="J61"/>
      <c r="K61" s="183"/>
      <c r="O61"/>
    </row>
    <row r="62" spans="4:15" x14ac:dyDescent="0.35">
      <c r="F62" s="1"/>
      <c r="G62" s="187"/>
      <c r="H62" s="1"/>
      <c r="I62" s="183"/>
      <c r="J62"/>
      <c r="K62" s="183"/>
      <c r="O62"/>
    </row>
    <row r="63" spans="4:15" x14ac:dyDescent="0.35">
      <c r="F63" s="1"/>
      <c r="G63" s="187"/>
      <c r="H63" s="1"/>
      <c r="I63" s="183"/>
      <c r="J63"/>
      <c r="K63" s="183"/>
      <c r="O63"/>
    </row>
    <row r="64" spans="4:15" x14ac:dyDescent="0.35">
      <c r="F64" s="1"/>
      <c r="G64" s="187"/>
      <c r="H64" s="197"/>
      <c r="I64" s="183"/>
      <c r="J64"/>
      <c r="K64" s="183"/>
      <c r="O64"/>
    </row>
    <row r="65" spans="6:15" x14ac:dyDescent="0.35">
      <c r="F65" s="1"/>
      <c r="G65" s="187"/>
      <c r="H65" s="197"/>
      <c r="I65" s="183"/>
      <c r="J65"/>
      <c r="K65" s="183"/>
      <c r="O65"/>
    </row>
    <row r="66" spans="6:15" x14ac:dyDescent="0.35">
      <c r="F66" s="1"/>
      <c r="G66" s="187"/>
      <c r="H66" s="1"/>
      <c r="I66" s="183"/>
      <c r="J66"/>
      <c r="K66" s="183"/>
      <c r="O66"/>
    </row>
    <row r="67" spans="6:15" x14ac:dyDescent="0.35">
      <c r="F67" s="1"/>
      <c r="G67" s="187"/>
      <c r="H67" s="1"/>
      <c r="I67" s="183"/>
      <c r="J67"/>
      <c r="K67" s="183"/>
      <c r="O67"/>
    </row>
    <row r="68" spans="6:15" x14ac:dyDescent="0.35">
      <c r="F68" s="1"/>
      <c r="G68" s="187"/>
      <c r="H68" s="1"/>
      <c r="I68" s="183"/>
      <c r="J68"/>
      <c r="K68" s="183"/>
      <c r="O68"/>
    </row>
    <row r="69" spans="6:15" x14ac:dyDescent="0.35">
      <c r="F69" s="1"/>
      <c r="G69" s="187"/>
      <c r="H69" s="1"/>
      <c r="I69" s="183"/>
      <c r="J69"/>
      <c r="K69" s="183"/>
      <c r="O69"/>
    </row>
  </sheetData>
  <mergeCells count="5">
    <mergeCell ref="C3:K3"/>
    <mergeCell ref="C4:K4"/>
    <mergeCell ref="C5:K5"/>
    <mergeCell ref="G7:H7"/>
    <mergeCell ref="I7:J7"/>
  </mergeCells>
  <pageMargins left="0.7" right="0.7" top="0.75" bottom="0.75" header="0.3" footer="0.3"/>
  <pageSetup scale="76"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630B1-5320-458A-B984-AF0BD6A9981A}">
  <sheetPr>
    <tabColor rgb="FF92D050"/>
    <pageSetUpPr fitToPage="1"/>
  </sheetPr>
  <dimension ref="B1:S24"/>
  <sheetViews>
    <sheetView showGridLines="0" topLeftCell="A6" workbookViewId="0">
      <selection activeCell="M29" sqref="M29"/>
    </sheetView>
  </sheetViews>
  <sheetFormatPr defaultRowHeight="15.5" x14ac:dyDescent="0.35"/>
  <cols>
    <col min="1" max="1" width="1.765625" customWidth="1"/>
    <col min="2" max="2" width="17.765625" customWidth="1"/>
    <col min="3" max="12" width="7.765625" customWidth="1"/>
    <col min="13" max="13" width="10.69140625" customWidth="1"/>
    <col min="14" max="14" width="0.765625" customWidth="1"/>
    <col min="15" max="15" width="2.3046875" customWidth="1"/>
    <col min="16" max="16" width="12.15234375" bestFit="1" customWidth="1"/>
    <col min="17" max="17" width="11" customWidth="1"/>
  </cols>
  <sheetData>
    <row r="1" spans="2:19" x14ac:dyDescent="0.35">
      <c r="B1" s="18"/>
      <c r="C1" s="18"/>
      <c r="D1" s="18"/>
      <c r="E1" s="18"/>
      <c r="F1" s="18"/>
      <c r="G1" s="18"/>
      <c r="H1" s="18"/>
      <c r="I1" s="18"/>
      <c r="J1" s="18"/>
      <c r="K1" s="18"/>
      <c r="L1" s="18"/>
      <c r="M1" s="18"/>
      <c r="N1" s="18"/>
      <c r="O1" s="18"/>
      <c r="P1" s="18"/>
    </row>
    <row r="2" spans="2:19" x14ac:dyDescent="0.35">
      <c r="B2" s="82"/>
      <c r="C2" s="83"/>
      <c r="D2" s="83"/>
      <c r="E2" s="83"/>
      <c r="F2" s="83"/>
      <c r="G2" s="83"/>
      <c r="H2" s="83"/>
      <c r="I2" s="83"/>
      <c r="J2" s="83"/>
      <c r="K2" s="83"/>
      <c r="L2" s="83"/>
      <c r="M2" s="83"/>
      <c r="N2" s="84"/>
      <c r="O2" s="18"/>
      <c r="P2" s="18"/>
    </row>
    <row r="3" spans="2:19" ht="18.5" x14ac:dyDescent="0.45">
      <c r="B3" s="86" t="s">
        <v>214</v>
      </c>
      <c r="C3" s="85"/>
      <c r="D3" s="85"/>
      <c r="E3" s="85"/>
      <c r="F3" s="85"/>
      <c r="G3" s="85"/>
      <c r="H3" s="85"/>
      <c r="I3" s="85"/>
      <c r="J3" s="85"/>
      <c r="K3" s="85"/>
      <c r="L3" s="85"/>
      <c r="M3" s="85"/>
      <c r="N3" s="76"/>
      <c r="O3" s="18"/>
      <c r="P3" s="18"/>
    </row>
    <row r="4" spans="2:19" ht="18.5" x14ac:dyDescent="0.45">
      <c r="B4" s="86" t="s">
        <v>90</v>
      </c>
      <c r="C4" s="87"/>
      <c r="D4" s="87"/>
      <c r="E4" s="87"/>
      <c r="F4" s="87"/>
      <c r="G4" s="87"/>
      <c r="H4" s="87"/>
      <c r="I4" s="87"/>
      <c r="J4" s="87"/>
      <c r="K4" s="87"/>
      <c r="L4" s="87"/>
      <c r="M4" s="87"/>
      <c r="N4" s="76"/>
      <c r="O4" s="18"/>
      <c r="P4" s="18"/>
    </row>
    <row r="5" spans="2:19" x14ac:dyDescent="0.35">
      <c r="B5" s="88" t="s">
        <v>218</v>
      </c>
      <c r="C5" s="85"/>
      <c r="D5" s="85"/>
      <c r="E5" s="85"/>
      <c r="F5" s="85"/>
      <c r="G5" s="85"/>
      <c r="H5" s="85"/>
      <c r="I5" s="85"/>
      <c r="J5" s="85"/>
      <c r="K5" s="85"/>
      <c r="L5" s="85"/>
      <c r="M5" s="85"/>
      <c r="N5" s="76"/>
      <c r="O5" s="18"/>
      <c r="P5" s="18"/>
    </row>
    <row r="6" spans="2:19" x14ac:dyDescent="0.35">
      <c r="B6" s="89" t="s">
        <v>276</v>
      </c>
      <c r="C6" s="90"/>
      <c r="D6" s="90"/>
      <c r="E6" s="90"/>
      <c r="F6" s="90"/>
      <c r="G6" s="90"/>
      <c r="H6" s="90"/>
      <c r="I6" s="90"/>
      <c r="J6" s="90"/>
      <c r="K6" s="90"/>
      <c r="L6" s="90"/>
      <c r="M6" s="90"/>
      <c r="N6" s="76"/>
      <c r="O6" s="18"/>
      <c r="P6" s="18"/>
    </row>
    <row r="7" spans="2:19" x14ac:dyDescent="0.35">
      <c r="B7" s="91"/>
      <c r="C7" s="90"/>
      <c r="D7" s="90"/>
      <c r="E7" s="90"/>
      <c r="F7" s="90"/>
      <c r="G7" s="90"/>
      <c r="H7" s="90"/>
      <c r="I7" s="90"/>
      <c r="J7" s="90"/>
      <c r="K7" s="90"/>
      <c r="L7" s="90"/>
      <c r="M7" s="90"/>
      <c r="N7" s="76"/>
      <c r="O7" s="18"/>
      <c r="P7" s="18"/>
    </row>
    <row r="8" spans="2:19" x14ac:dyDescent="0.35">
      <c r="B8" s="92"/>
      <c r="C8" s="93"/>
      <c r="D8" s="94"/>
      <c r="E8" s="93"/>
      <c r="F8" s="95"/>
      <c r="G8" s="93"/>
      <c r="H8" s="95"/>
      <c r="I8" s="93"/>
      <c r="J8" s="95"/>
      <c r="K8" s="93"/>
      <c r="L8" s="95"/>
      <c r="M8" s="94"/>
      <c r="N8" s="84"/>
      <c r="O8" s="18"/>
      <c r="P8" s="18"/>
    </row>
    <row r="9" spans="2:19" ht="16" x14ac:dyDescent="0.35">
      <c r="B9" s="96"/>
      <c r="C9" s="348" t="s">
        <v>91</v>
      </c>
      <c r="D9" s="349"/>
      <c r="E9" s="348" t="s">
        <v>92</v>
      </c>
      <c r="F9" s="349"/>
      <c r="G9" s="348" t="s">
        <v>93</v>
      </c>
      <c r="H9" s="349"/>
      <c r="I9" s="348" t="s">
        <v>274</v>
      </c>
      <c r="J9" s="349"/>
      <c r="K9" s="348" t="s">
        <v>275</v>
      </c>
      <c r="L9" s="349"/>
      <c r="M9" s="18"/>
      <c r="N9" s="76"/>
      <c r="O9" s="18"/>
      <c r="P9" s="18"/>
    </row>
    <row r="10" spans="2:19" ht="16" x14ac:dyDescent="0.35">
      <c r="B10" s="96"/>
      <c r="C10" s="97"/>
      <c r="D10" s="98" t="s">
        <v>94</v>
      </c>
      <c r="E10" s="99"/>
      <c r="F10" s="98" t="s">
        <v>94</v>
      </c>
      <c r="G10" s="99"/>
      <c r="H10" s="98" t="s">
        <v>94</v>
      </c>
      <c r="I10" s="99"/>
      <c r="J10" s="98" t="s">
        <v>94</v>
      </c>
      <c r="K10" s="99"/>
      <c r="L10" s="98" t="s">
        <v>94</v>
      </c>
      <c r="M10" s="18"/>
      <c r="N10" s="76"/>
      <c r="O10" s="18"/>
      <c r="P10" s="286"/>
      <c r="Q10" s="244"/>
      <c r="R10" s="244"/>
      <c r="S10" s="244"/>
    </row>
    <row r="11" spans="2:19" ht="18.5" x14ac:dyDescent="0.65">
      <c r="B11" s="96"/>
      <c r="C11" s="97" t="s">
        <v>95</v>
      </c>
      <c r="D11" s="100" t="s">
        <v>96</v>
      </c>
      <c r="E11" s="97" t="s">
        <v>95</v>
      </c>
      <c r="F11" s="100" t="s">
        <v>96</v>
      </c>
      <c r="G11" s="97" t="s">
        <v>95</v>
      </c>
      <c r="H11" s="100" t="s">
        <v>96</v>
      </c>
      <c r="I11" s="97" t="s">
        <v>95</v>
      </c>
      <c r="J11" s="100" t="s">
        <v>96</v>
      </c>
      <c r="K11" s="97" t="s">
        <v>95</v>
      </c>
      <c r="L11" s="100" t="s">
        <v>96</v>
      </c>
      <c r="M11" s="101" t="s">
        <v>69</v>
      </c>
      <c r="N11" s="76"/>
      <c r="O11" s="18"/>
      <c r="P11" s="287" t="s">
        <v>299</v>
      </c>
      <c r="Q11" s="290" t="s">
        <v>300</v>
      </c>
      <c r="R11" s="244"/>
      <c r="S11" s="244"/>
    </row>
    <row r="12" spans="2:19" ht="15.4" customHeight="1" x14ac:dyDescent="0.35">
      <c r="B12" s="321" t="s">
        <v>344</v>
      </c>
      <c r="C12" s="216">
        <v>6831.52</v>
      </c>
      <c r="D12" s="216">
        <v>976.48</v>
      </c>
      <c r="E12" s="229">
        <v>7118.23</v>
      </c>
      <c r="F12" s="216">
        <v>498.28</v>
      </c>
      <c r="G12" s="229"/>
      <c r="H12" s="216"/>
      <c r="I12" s="229"/>
      <c r="J12" s="216"/>
      <c r="K12" s="229"/>
      <c r="L12" s="217"/>
      <c r="M12" s="105">
        <f t="shared" ref="M12:M14" si="0">SUM(C12:L12)</f>
        <v>15424.51</v>
      </c>
      <c r="N12" s="76"/>
      <c r="O12" s="18"/>
      <c r="P12" s="288">
        <v>9410</v>
      </c>
      <c r="Q12" s="285">
        <v>103000</v>
      </c>
      <c r="R12" s="286" t="s">
        <v>298</v>
      </c>
      <c r="S12" s="244"/>
    </row>
    <row r="13" spans="2:19" ht="15.4" customHeight="1" x14ac:dyDescent="0.35">
      <c r="B13" s="322" t="s">
        <v>345</v>
      </c>
      <c r="C13" s="103">
        <v>1463.64</v>
      </c>
      <c r="D13" s="104">
        <v>1232.3599999999999</v>
      </c>
      <c r="E13" s="103">
        <v>1533.93</v>
      </c>
      <c r="F13" s="104">
        <v>1162.07</v>
      </c>
      <c r="G13" s="103">
        <v>1617.63</v>
      </c>
      <c r="H13" s="104">
        <v>1078.3699999999999</v>
      </c>
      <c r="I13" s="103">
        <v>1702.56</v>
      </c>
      <c r="J13" s="104">
        <v>993.44</v>
      </c>
      <c r="K13" s="103">
        <v>1794.41</v>
      </c>
      <c r="L13" s="104">
        <v>901.59</v>
      </c>
      <c r="M13" s="105">
        <f t="shared" si="0"/>
        <v>13480</v>
      </c>
      <c r="N13" s="76"/>
      <c r="O13" s="18"/>
      <c r="P13" s="289" t="s">
        <v>301</v>
      </c>
      <c r="Q13" s="285">
        <v>42917</v>
      </c>
      <c r="R13" s="244"/>
      <c r="S13" s="244"/>
    </row>
    <row r="14" spans="2:19" ht="15.4" customHeight="1" x14ac:dyDescent="0.35">
      <c r="B14" s="102" t="s">
        <v>312</v>
      </c>
      <c r="C14" s="296">
        <v>29851.93</v>
      </c>
      <c r="D14" s="297">
        <v>6877.07</v>
      </c>
      <c r="E14" s="298">
        <v>30338.04</v>
      </c>
      <c r="F14" s="297">
        <v>6390.96</v>
      </c>
      <c r="G14" s="298">
        <v>30886.41</v>
      </c>
      <c r="H14" s="297">
        <v>5842.59</v>
      </c>
      <c r="I14" s="298">
        <v>31426.93</v>
      </c>
      <c r="J14" s="297">
        <v>5302.07</v>
      </c>
      <c r="K14" s="298">
        <v>31989.88</v>
      </c>
      <c r="L14" s="297">
        <v>4739.12</v>
      </c>
      <c r="M14" s="105">
        <f t="shared" si="0"/>
        <v>183645.00000000003</v>
      </c>
      <c r="N14" s="76"/>
      <c r="O14" s="18"/>
      <c r="P14" s="289" t="s">
        <v>302</v>
      </c>
      <c r="Q14" s="291">
        <v>1050000</v>
      </c>
      <c r="R14" s="244"/>
      <c r="S14" s="244"/>
    </row>
    <row r="15" spans="2:19" x14ac:dyDescent="0.35">
      <c r="B15" s="106"/>
      <c r="C15" s="107"/>
      <c r="D15" s="108"/>
      <c r="E15" s="107"/>
      <c r="F15" s="108"/>
      <c r="G15" s="107"/>
      <c r="H15" s="108"/>
      <c r="I15" s="107"/>
      <c r="J15" s="108"/>
      <c r="K15" s="107"/>
      <c r="L15" s="109"/>
      <c r="M15" s="105"/>
      <c r="N15" s="76"/>
      <c r="O15" s="18"/>
      <c r="P15" s="286"/>
      <c r="Q15" s="244"/>
      <c r="R15" s="244"/>
      <c r="S15" s="244"/>
    </row>
    <row r="16" spans="2:19" x14ac:dyDescent="0.35">
      <c r="B16" s="77" t="s">
        <v>69</v>
      </c>
      <c r="C16" s="110">
        <f>SUM(C12:C14)</f>
        <v>38147.089999999997</v>
      </c>
      <c r="D16" s="110">
        <f>SUM(D12:D14)</f>
        <v>9085.91</v>
      </c>
      <c r="E16" s="110">
        <f t="shared" ref="E16:M16" si="1">SUM(E12:E14)</f>
        <v>38990.199999999997</v>
      </c>
      <c r="F16" s="110">
        <f>SUM(F12:F14)</f>
        <v>8051.3099999999995</v>
      </c>
      <c r="G16" s="110">
        <f t="shared" si="1"/>
        <v>32504.04</v>
      </c>
      <c r="H16" s="110">
        <f>SUM(H12:H14)</f>
        <v>6920.96</v>
      </c>
      <c r="I16" s="110">
        <f t="shared" si="1"/>
        <v>33129.49</v>
      </c>
      <c r="J16" s="110">
        <f>SUM(J12:J14)</f>
        <v>6295.51</v>
      </c>
      <c r="K16" s="110">
        <f t="shared" si="1"/>
        <v>33784.29</v>
      </c>
      <c r="L16" s="110">
        <f>SUM(L12:L14)</f>
        <v>5640.71</v>
      </c>
      <c r="M16" s="110">
        <f t="shared" si="1"/>
        <v>212549.51000000004</v>
      </c>
      <c r="N16" s="76"/>
      <c r="O16" s="18"/>
      <c r="P16" s="286">
        <f>SUM(C16:L16)</f>
        <v>212549.50999999998</v>
      </c>
      <c r="Q16" s="244"/>
      <c r="R16" s="244"/>
      <c r="S16" s="244"/>
    </row>
    <row r="17" spans="2:19" x14ac:dyDescent="0.35">
      <c r="B17" s="111"/>
      <c r="C17" s="112"/>
      <c r="D17" s="113"/>
      <c r="E17" s="112"/>
      <c r="F17" s="114"/>
      <c r="G17" s="112"/>
      <c r="H17" s="114"/>
      <c r="I17" s="112"/>
      <c r="J17" s="115"/>
      <c r="K17" s="112"/>
      <c r="L17" s="114"/>
      <c r="M17" s="113"/>
      <c r="N17" s="73"/>
      <c r="O17" s="18"/>
      <c r="P17" s="286"/>
      <c r="Q17" s="244"/>
      <c r="R17" s="244"/>
      <c r="S17" s="244"/>
    </row>
    <row r="18" spans="2:19" x14ac:dyDescent="0.35">
      <c r="B18" s="116"/>
      <c r="C18" s="117"/>
      <c r="D18" s="117"/>
      <c r="E18" s="117"/>
      <c r="F18" s="117"/>
      <c r="G18" s="117"/>
      <c r="H18" s="117"/>
      <c r="I18" s="117"/>
      <c r="J18" s="118"/>
      <c r="K18" s="118"/>
      <c r="L18" s="118"/>
      <c r="M18" s="117"/>
      <c r="N18" s="76"/>
      <c r="O18" s="18"/>
      <c r="P18" s="286"/>
      <c r="Q18" s="244"/>
      <c r="R18" s="244"/>
      <c r="S18" s="244"/>
    </row>
    <row r="19" spans="2:19" x14ac:dyDescent="0.35">
      <c r="B19" s="119"/>
      <c r="C19" s="120"/>
      <c r="D19" s="121"/>
      <c r="E19" s="120"/>
      <c r="F19" s="120"/>
      <c r="G19" s="120"/>
      <c r="H19" s="120"/>
      <c r="I19" s="121" t="s">
        <v>97</v>
      </c>
      <c r="J19" s="18"/>
      <c r="K19" s="122"/>
      <c r="L19" s="123"/>
      <c r="M19" s="120">
        <f>M16/5</f>
        <v>42509.902000000009</v>
      </c>
      <c r="N19" s="76"/>
      <c r="O19" s="18"/>
      <c r="P19" s="286"/>
      <c r="Q19" s="244"/>
      <c r="R19" s="244"/>
      <c r="S19" s="244"/>
    </row>
    <row r="20" spans="2:19" x14ac:dyDescent="0.35">
      <c r="B20" s="20"/>
      <c r="C20" s="121"/>
      <c r="D20" s="18"/>
      <c r="E20" s="121"/>
      <c r="F20" s="121"/>
      <c r="G20" s="121"/>
      <c r="H20" s="121"/>
      <c r="I20" s="121"/>
      <c r="J20" s="18"/>
      <c r="K20" s="23"/>
      <c r="L20" s="122"/>
      <c r="M20" s="34"/>
      <c r="N20" s="76"/>
      <c r="O20" s="18"/>
      <c r="P20" s="286"/>
      <c r="Q20" s="244"/>
      <c r="R20" s="244"/>
      <c r="S20" s="244"/>
    </row>
    <row r="21" spans="2:19" x14ac:dyDescent="0.35">
      <c r="B21" s="119"/>
      <c r="C21" s="121"/>
      <c r="D21" s="121"/>
      <c r="E21" s="121"/>
      <c r="F21" s="121"/>
      <c r="G21" s="121"/>
      <c r="H21" s="121"/>
      <c r="I21" s="121" t="s">
        <v>98</v>
      </c>
      <c r="J21" s="18"/>
      <c r="K21" s="122"/>
      <c r="L21" s="121"/>
      <c r="M21" s="120">
        <f>M19*0.2</f>
        <v>8501.9804000000022</v>
      </c>
      <c r="N21" s="76"/>
      <c r="O21" s="18"/>
      <c r="P21" s="286">
        <f>M21+M19</f>
        <v>51011.88240000001</v>
      </c>
      <c r="Q21" s="244"/>
      <c r="R21" s="244"/>
      <c r="S21" s="244"/>
    </row>
    <row r="22" spans="2:19" x14ac:dyDescent="0.35">
      <c r="B22" s="124"/>
      <c r="C22" s="125"/>
      <c r="D22" s="125"/>
      <c r="E22" s="125"/>
      <c r="F22" s="125" t="s">
        <v>172</v>
      </c>
      <c r="G22" s="125"/>
      <c r="H22" s="125"/>
      <c r="I22" s="125"/>
      <c r="J22" s="125"/>
      <c r="K22" s="125"/>
      <c r="L22" s="125"/>
      <c r="M22" s="125"/>
      <c r="N22" s="73"/>
      <c r="O22" s="18"/>
      <c r="P22" s="286"/>
      <c r="Q22" s="244"/>
      <c r="R22" s="244"/>
      <c r="S22" s="244"/>
    </row>
    <row r="23" spans="2:19" x14ac:dyDescent="0.35">
      <c r="P23" s="244"/>
      <c r="Q23" s="244"/>
      <c r="R23" s="244"/>
      <c r="S23" s="244"/>
    </row>
    <row r="24" spans="2:19" x14ac:dyDescent="0.35">
      <c r="I24" s="121" t="s">
        <v>295</v>
      </c>
      <c r="M24" s="239">
        <f>(D16+F16+H16+J16+L16)/5</f>
        <v>7198.88</v>
      </c>
      <c r="P24" s="244"/>
      <c r="Q24" s="244"/>
      <c r="R24" s="244"/>
      <c r="S24" s="244"/>
    </row>
  </sheetData>
  <mergeCells count="5">
    <mergeCell ref="C9:D9"/>
    <mergeCell ref="E9:F9"/>
    <mergeCell ref="G9:H9"/>
    <mergeCell ref="I9:J9"/>
    <mergeCell ref="K9:L9"/>
  </mergeCells>
  <pageMargins left="0.7" right="0.7" top="0.75" bottom="0.75" header="0.3" footer="0.3"/>
  <pageSetup scale="92" fitToHeight="0"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7B32F-4CA1-4F84-B54A-FE6CF749D13D}">
  <sheetPr>
    <tabColor rgb="FF92D050"/>
  </sheetPr>
  <dimension ref="A1:F9"/>
  <sheetViews>
    <sheetView workbookViewId="0">
      <selection activeCell="E6" sqref="E6"/>
    </sheetView>
  </sheetViews>
  <sheetFormatPr defaultRowHeight="15.5" x14ac:dyDescent="0.35"/>
  <cols>
    <col min="5" max="5" width="10.23046875" bestFit="1" customWidth="1"/>
    <col min="6" max="6" width="10.15234375" bestFit="1" customWidth="1"/>
  </cols>
  <sheetData>
    <row r="1" spans="1:6" x14ac:dyDescent="0.35">
      <c r="A1" s="1" t="s">
        <v>160</v>
      </c>
      <c r="B1" s="1"/>
      <c r="C1" s="1"/>
      <c r="D1" s="1"/>
    </row>
    <row r="2" spans="1:6" x14ac:dyDescent="0.35">
      <c r="A2" s="1" t="s">
        <v>229</v>
      </c>
      <c r="B2" s="1"/>
      <c r="C2" s="1">
        <v>9</v>
      </c>
      <c r="D2" s="1"/>
      <c r="E2" t="s">
        <v>230</v>
      </c>
      <c r="F2" s="253">
        <v>1070</v>
      </c>
    </row>
    <row r="3" spans="1:6" x14ac:dyDescent="0.35">
      <c r="A3" s="1" t="s">
        <v>163</v>
      </c>
      <c r="B3" s="1"/>
      <c r="C3" s="178">
        <f>(C2*1070)</f>
        <v>9630</v>
      </c>
      <c r="D3" s="1"/>
      <c r="E3" s="180"/>
    </row>
    <row r="4" spans="1:6" x14ac:dyDescent="0.35">
      <c r="A4" s="1"/>
      <c r="B4" s="1"/>
      <c r="C4" s="1"/>
      <c r="D4" s="1"/>
    </row>
    <row r="5" spans="1:6" x14ac:dyDescent="0.35">
      <c r="A5" s="1" t="s">
        <v>161</v>
      </c>
      <c r="B5" s="179">
        <v>0.3</v>
      </c>
      <c r="C5" s="178">
        <f>B5*C3</f>
        <v>2889</v>
      </c>
      <c r="D5" s="21"/>
      <c r="E5" t="s">
        <v>346</v>
      </c>
    </row>
    <row r="6" spans="1:6" x14ac:dyDescent="0.35">
      <c r="A6" s="1" t="s">
        <v>162</v>
      </c>
      <c r="B6" s="179">
        <v>0.7</v>
      </c>
      <c r="C6" s="178">
        <f>B6*C3</f>
        <v>6741</v>
      </c>
      <c r="D6" s="21"/>
    </row>
    <row r="8" spans="1:6" x14ac:dyDescent="0.35">
      <c r="A8" s="1" t="s">
        <v>178</v>
      </c>
    </row>
    <row r="9" spans="1:6" x14ac:dyDescent="0.35">
      <c r="A9" s="1" t="s">
        <v>179</v>
      </c>
    </row>
  </sheetData>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2889-0321-45D3-A9A4-AE60C9D6113F}">
  <sheetPr>
    <tabColor rgb="FF92D050"/>
    <pageSetUpPr fitToPage="1"/>
  </sheetPr>
  <dimension ref="A1:K60"/>
  <sheetViews>
    <sheetView showGridLines="0" topLeftCell="A22" workbookViewId="0">
      <selection activeCell="H24" sqref="H24"/>
    </sheetView>
  </sheetViews>
  <sheetFormatPr defaultColWidth="8.84375" defaultRowHeight="14" x14ac:dyDescent="0.3"/>
  <cols>
    <col min="1" max="1" width="22.07421875" style="152" customWidth="1"/>
    <col min="2" max="2" width="9.84375" style="153" bestFit="1" customWidth="1"/>
    <col min="3" max="3" width="9.69140625" style="153" bestFit="1" customWidth="1"/>
    <col min="4" max="4" width="10.69140625" style="152" customWidth="1"/>
    <col min="5" max="5" width="10.07421875" style="152" bestFit="1" customWidth="1"/>
    <col min="6" max="7" width="8.84375" style="152"/>
    <col min="8" max="8" width="10.07421875" style="152" bestFit="1" customWidth="1"/>
    <col min="9" max="9" width="9.921875" style="152" bestFit="1" customWidth="1"/>
    <col min="10" max="10" width="11.69140625" style="152" bestFit="1" customWidth="1"/>
    <col min="11" max="11" width="10.3046875" style="152" customWidth="1"/>
    <col min="12" max="16384" width="8.84375" style="152"/>
  </cols>
  <sheetData>
    <row r="1" spans="1:11" ht="16" x14ac:dyDescent="0.5">
      <c r="A1" s="1" t="s">
        <v>131</v>
      </c>
      <c r="B1" s="7"/>
      <c r="C1" s="271" t="s">
        <v>235</v>
      </c>
      <c r="D1" s="1"/>
      <c r="E1" s="1"/>
      <c r="F1" s="1"/>
    </row>
    <row r="2" spans="1:11" ht="14.5" x14ac:dyDescent="0.35">
      <c r="A2" s="1" t="s">
        <v>137</v>
      </c>
      <c r="B2" s="7"/>
      <c r="C2" s="7">
        <v>0</v>
      </c>
      <c r="D2" s="1"/>
      <c r="E2" s="1"/>
      <c r="F2" s="1"/>
      <c r="J2" s="225" t="s">
        <v>285</v>
      </c>
    </row>
    <row r="3" spans="1:11" ht="14.5" x14ac:dyDescent="0.35">
      <c r="A3" s="1" t="s">
        <v>138</v>
      </c>
      <c r="B3" s="7"/>
      <c r="C3" s="5">
        <v>59844000</v>
      </c>
      <c r="D3" s="1"/>
      <c r="E3" s="1"/>
      <c r="F3" s="1"/>
      <c r="J3" s="270" t="s">
        <v>286</v>
      </c>
    </row>
    <row r="4" spans="1:11" ht="14.5" x14ac:dyDescent="0.35">
      <c r="A4" s="1" t="s">
        <v>139</v>
      </c>
      <c r="B4" s="7"/>
      <c r="C4" s="7">
        <f>C2+C3</f>
        <v>59844000</v>
      </c>
      <c r="D4" s="1"/>
      <c r="E4" s="1"/>
      <c r="F4" s="1"/>
      <c r="G4" s="1"/>
      <c r="H4" s="152" t="s">
        <v>138</v>
      </c>
      <c r="J4" s="272" t="s">
        <v>193</v>
      </c>
      <c r="K4" s="273" t="s">
        <v>194</v>
      </c>
    </row>
    <row r="5" spans="1:11" ht="14.5" x14ac:dyDescent="0.35">
      <c r="A5" s="1"/>
      <c r="B5" s="7"/>
      <c r="C5" s="7"/>
      <c r="D5" s="1"/>
      <c r="E5" s="1"/>
      <c r="F5" s="1"/>
      <c r="G5" s="1"/>
      <c r="H5" s="152" t="s">
        <v>12</v>
      </c>
      <c r="J5" s="274">
        <v>3.67</v>
      </c>
      <c r="K5" s="273" t="s">
        <v>40</v>
      </c>
    </row>
    <row r="6" spans="1:11" ht="14.5" x14ac:dyDescent="0.35">
      <c r="A6" s="1" t="s">
        <v>132</v>
      </c>
      <c r="B6" s="7"/>
      <c r="C6" s="7">
        <v>47940000</v>
      </c>
      <c r="D6" s="1"/>
      <c r="E6" s="1"/>
      <c r="F6" s="1"/>
      <c r="G6" s="1" t="s">
        <v>190</v>
      </c>
      <c r="H6" s="275">
        <f>C4</f>
        <v>59844000</v>
      </c>
      <c r="I6" s="276"/>
      <c r="J6" s="276">
        <f>(H6/1000)*J5</f>
        <v>219627.47999999998</v>
      </c>
      <c r="K6" s="276"/>
    </row>
    <row r="7" spans="1:11" ht="14.5" x14ac:dyDescent="0.35">
      <c r="A7" s="1"/>
      <c r="B7" s="7"/>
      <c r="C7" s="7"/>
      <c r="D7" s="1"/>
      <c r="E7" s="1"/>
      <c r="F7" s="1"/>
      <c r="G7" s="1" t="s">
        <v>287</v>
      </c>
      <c r="I7" s="276"/>
      <c r="J7" s="277">
        <f>SAO!D25</f>
        <v>196648</v>
      </c>
      <c r="K7" s="276"/>
    </row>
    <row r="8" spans="1:11" ht="14.5" x14ac:dyDescent="0.35">
      <c r="A8" s="1" t="s">
        <v>133</v>
      </c>
      <c r="B8" s="7"/>
      <c r="C8" s="7"/>
      <c r="D8" s="1"/>
      <c r="E8" s="1"/>
      <c r="F8" s="1"/>
      <c r="G8" s="1"/>
      <c r="I8" s="276"/>
      <c r="J8" s="276"/>
      <c r="K8" s="276">
        <f>J6-J7</f>
        <v>22979.479999999981</v>
      </c>
    </row>
    <row r="9" spans="1:11" ht="14.5" x14ac:dyDescent="0.35">
      <c r="A9" s="1" t="s">
        <v>142</v>
      </c>
      <c r="B9" s="7">
        <v>0</v>
      </c>
      <c r="C9" s="7"/>
      <c r="D9" s="1"/>
      <c r="E9" s="1"/>
      <c r="F9" s="1"/>
      <c r="G9" s="254"/>
      <c r="H9" s="263" t="s">
        <v>303</v>
      </c>
      <c r="I9" s="263"/>
      <c r="J9" s="263"/>
      <c r="K9" s="263"/>
    </row>
    <row r="10" spans="1:11" ht="14.5" x14ac:dyDescent="0.35">
      <c r="A10" s="1" t="s">
        <v>143</v>
      </c>
      <c r="B10" s="7">
        <v>0</v>
      </c>
      <c r="C10" s="7"/>
      <c r="D10" s="1"/>
      <c r="E10" s="1"/>
      <c r="F10" s="1"/>
      <c r="G10" s="1"/>
    </row>
    <row r="11" spans="1:11" ht="14.5" x14ac:dyDescent="0.35">
      <c r="A11" s="1" t="s">
        <v>144</v>
      </c>
      <c r="B11" s="7">
        <v>0</v>
      </c>
      <c r="C11" s="7"/>
      <c r="D11" s="1"/>
      <c r="E11" s="1"/>
      <c r="F11" s="1"/>
      <c r="G11" s="1"/>
    </row>
    <row r="12" spans="1:11" ht="14.5" x14ac:dyDescent="0.35">
      <c r="A12" s="1" t="s">
        <v>145</v>
      </c>
      <c r="B12" s="7">
        <v>0</v>
      </c>
      <c r="C12" s="7"/>
      <c r="D12" s="1"/>
      <c r="E12" s="1"/>
      <c r="F12" s="1"/>
      <c r="G12" s="1"/>
    </row>
    <row r="13" spans="1:11" ht="14.5" x14ac:dyDescent="0.35">
      <c r="A13" s="1" t="s">
        <v>140</v>
      </c>
      <c r="B13" s="7"/>
      <c r="C13" s="7">
        <f>SUM(B9:B12)</f>
        <v>0</v>
      </c>
      <c r="D13" s="1"/>
      <c r="E13" s="1"/>
      <c r="F13" s="1"/>
      <c r="G13" s="1"/>
    </row>
    <row r="14" spans="1:11" ht="14.5" x14ac:dyDescent="0.35">
      <c r="A14" s="1"/>
      <c r="B14" s="7"/>
      <c r="C14" s="7"/>
      <c r="D14" s="1"/>
      <c r="E14" s="1"/>
      <c r="F14" s="1"/>
      <c r="G14" s="1"/>
    </row>
    <row r="15" spans="1:11" ht="14.5" x14ac:dyDescent="0.35">
      <c r="A15" s="1" t="s">
        <v>141</v>
      </c>
      <c r="B15" s="7"/>
      <c r="C15" s="7"/>
      <c r="D15" s="1"/>
      <c r="E15" s="1"/>
      <c r="F15" s="1"/>
      <c r="G15" s="1"/>
    </row>
    <row r="16" spans="1:11" ht="14.5" x14ac:dyDescent="0.35">
      <c r="A16" s="1" t="s">
        <v>146</v>
      </c>
      <c r="B16" s="7">
        <v>0</v>
      </c>
      <c r="C16" s="7"/>
      <c r="D16" s="1"/>
      <c r="E16" s="1"/>
      <c r="F16" s="1"/>
      <c r="G16" s="1"/>
    </row>
    <row r="17" spans="1:7" ht="14.5" x14ac:dyDescent="0.35">
      <c r="A17" s="1" t="s">
        <v>147</v>
      </c>
      <c r="B17" s="7">
        <v>0</v>
      </c>
      <c r="C17" s="7"/>
      <c r="D17" s="1"/>
      <c r="E17" s="1"/>
      <c r="F17" s="1"/>
      <c r="G17" s="1"/>
    </row>
    <row r="18" spans="1:7" ht="14.5" x14ac:dyDescent="0.35">
      <c r="A18" s="1" t="s">
        <v>148</v>
      </c>
      <c r="B18" s="7">
        <v>11833000</v>
      </c>
      <c r="C18" s="7"/>
      <c r="D18" s="1"/>
      <c r="E18" s="1"/>
      <c r="F18" s="1"/>
      <c r="G18" s="1"/>
    </row>
    <row r="19" spans="1:7" ht="14.5" x14ac:dyDescent="0.35">
      <c r="A19" s="1" t="s">
        <v>175</v>
      </c>
      <c r="B19" s="7">
        <v>0</v>
      </c>
      <c r="C19" s="7"/>
      <c r="D19" s="1"/>
      <c r="E19" s="1"/>
      <c r="F19" s="1"/>
      <c r="G19" s="1"/>
    </row>
    <row r="20" spans="1:7" ht="14.5" x14ac:dyDescent="0.35">
      <c r="A20" s="1" t="s">
        <v>149</v>
      </c>
      <c r="B20" s="7">
        <v>71000</v>
      </c>
      <c r="C20" s="7"/>
    </row>
    <row r="21" spans="1:7" ht="14.5" x14ac:dyDescent="0.35">
      <c r="A21" s="1" t="s">
        <v>150</v>
      </c>
      <c r="B21" s="7"/>
      <c r="C21" s="5">
        <f>SUM(B16:B20)</f>
        <v>11904000</v>
      </c>
    </row>
    <row r="22" spans="1:7" ht="14.5" x14ac:dyDescent="0.35">
      <c r="A22" s="1" t="s">
        <v>151</v>
      </c>
      <c r="B22" s="7"/>
      <c r="C22" s="7">
        <f>C6+C13+C21</f>
        <v>59844000</v>
      </c>
    </row>
    <row r="23" spans="1:7" ht="14.5" x14ac:dyDescent="0.35">
      <c r="A23" s="1"/>
    </row>
    <row r="25" spans="1:7" ht="14.5" x14ac:dyDescent="0.35">
      <c r="D25" s="51">
        <f>C21/C4</f>
        <v>0.19891718468016845</v>
      </c>
      <c r="E25" s="1" t="s">
        <v>134</v>
      </c>
      <c r="F25" s="1"/>
      <c r="G25" s="1"/>
    </row>
    <row r="26" spans="1:7" ht="14.5" x14ac:dyDescent="0.35">
      <c r="D26" s="51">
        <v>0.15</v>
      </c>
      <c r="E26" s="1" t="s">
        <v>135</v>
      </c>
      <c r="F26" s="1"/>
      <c r="G26" s="1"/>
    </row>
    <row r="27" spans="1:7" ht="14.5" x14ac:dyDescent="0.35">
      <c r="D27" s="342">
        <f>D25-D26</f>
        <v>4.8917184680168452E-2</v>
      </c>
      <c r="E27" s="1" t="s">
        <v>136</v>
      </c>
      <c r="F27" s="1"/>
      <c r="G27" s="21"/>
    </row>
    <row r="29" spans="1:7" ht="14.5" x14ac:dyDescent="0.35">
      <c r="A29" s="1" t="s">
        <v>176</v>
      </c>
      <c r="B29" s="7"/>
      <c r="C29" s="7"/>
    </row>
    <row r="30" spans="1:7" ht="14.5" x14ac:dyDescent="0.35">
      <c r="A30" s="1" t="str">
        <f>SAO!C25</f>
        <v>Purchased Water</v>
      </c>
      <c r="B30" s="255">
        <f>SAO!D25</f>
        <v>196648</v>
      </c>
      <c r="C30" s="211">
        <f>D27</f>
        <v>4.8917184680168452E-2</v>
      </c>
      <c r="D30" s="197">
        <f>B30*C30</f>
        <v>9619.4665329857653</v>
      </c>
      <c r="E30" s="225"/>
    </row>
    <row r="31" spans="1:7" ht="14.5" x14ac:dyDescent="0.35">
      <c r="A31" s="1" t="str">
        <f>SAO!C27</f>
        <v>Purchased Power</v>
      </c>
      <c r="B31" s="210">
        <f>SAO!E27</f>
        <v>6161.54</v>
      </c>
      <c r="C31" s="211">
        <f>D27</f>
        <v>4.8917184680168452E-2</v>
      </c>
      <c r="D31" s="197">
        <f t="shared" ref="D31" si="0">B31*C31</f>
        <v>301.40519009424514</v>
      </c>
    </row>
    <row r="32" spans="1:7" ht="16" x14ac:dyDescent="0.5">
      <c r="A32" s="1"/>
      <c r="B32" s="210"/>
      <c r="C32" s="212"/>
      <c r="D32" s="213"/>
    </row>
    <row r="33" spans="1:5" ht="14.5" x14ac:dyDescent="0.35">
      <c r="A33" s="1" t="s">
        <v>173</v>
      </c>
      <c r="B33" s="7"/>
      <c r="C33" s="198"/>
      <c r="D33" s="341">
        <f>SUM(D30:D32)</f>
        <v>9920.8717230800103</v>
      </c>
    </row>
    <row r="34" spans="1:5" ht="14.5" x14ac:dyDescent="0.35">
      <c r="A34" s="1"/>
      <c r="B34" s="6"/>
      <c r="C34" s="269"/>
      <c r="D34" s="2"/>
    </row>
    <row r="35" spans="1:5" ht="14.5" x14ac:dyDescent="0.35">
      <c r="A35" s="1"/>
      <c r="B35" s="6"/>
      <c r="C35" s="268"/>
      <c r="D35" s="197"/>
    </row>
    <row r="38" spans="1:5" x14ac:dyDescent="0.3">
      <c r="B38" s="310"/>
      <c r="C38" s="310"/>
    </row>
    <row r="39" spans="1:5" x14ac:dyDescent="0.3">
      <c r="B39" s="310"/>
      <c r="C39" s="310"/>
    </row>
    <row r="40" spans="1:5" x14ac:dyDescent="0.3">
      <c r="B40" s="311"/>
      <c r="C40" s="310"/>
      <c r="E40" s="310"/>
    </row>
    <row r="41" spans="1:5" x14ac:dyDescent="0.3">
      <c r="B41" s="311"/>
      <c r="C41" s="310"/>
      <c r="E41" s="310"/>
    </row>
    <row r="42" spans="1:5" x14ac:dyDescent="0.3">
      <c r="B42" s="311"/>
      <c r="C42" s="310"/>
      <c r="E42" s="310"/>
    </row>
    <row r="43" spans="1:5" x14ac:dyDescent="0.3">
      <c r="B43" s="311"/>
      <c r="C43" s="310"/>
    </row>
    <row r="44" spans="1:5" x14ac:dyDescent="0.3">
      <c r="B44" s="311"/>
      <c r="C44" s="310"/>
    </row>
    <row r="45" spans="1:5" x14ac:dyDescent="0.3">
      <c r="B45" s="311"/>
      <c r="C45" s="310"/>
    </row>
    <row r="46" spans="1:5" x14ac:dyDescent="0.3">
      <c r="B46" s="311"/>
      <c r="C46" s="310"/>
    </row>
    <row r="47" spans="1:5" x14ac:dyDescent="0.3">
      <c r="B47" s="311"/>
      <c r="C47" s="310"/>
    </row>
    <row r="48" spans="1:5" x14ac:dyDescent="0.3">
      <c r="B48" s="311"/>
      <c r="C48" s="310"/>
    </row>
    <row r="49" spans="2:3" x14ac:dyDescent="0.3">
      <c r="B49" s="311"/>
      <c r="C49" s="310"/>
    </row>
    <row r="50" spans="2:3" x14ac:dyDescent="0.3">
      <c r="B50" s="311"/>
      <c r="C50" s="310"/>
    </row>
    <row r="51" spans="2:3" x14ac:dyDescent="0.3">
      <c r="B51" s="311"/>
      <c r="C51" s="310"/>
    </row>
    <row r="52" spans="2:3" x14ac:dyDescent="0.3">
      <c r="B52" s="311"/>
      <c r="C52" s="310"/>
    </row>
    <row r="53" spans="2:3" x14ac:dyDescent="0.3">
      <c r="B53" s="311"/>
      <c r="C53" s="310"/>
    </row>
    <row r="54" spans="2:3" x14ac:dyDescent="0.3">
      <c r="B54" s="311"/>
      <c r="C54" s="310"/>
    </row>
    <row r="55" spans="2:3" x14ac:dyDescent="0.3">
      <c r="B55" s="311"/>
      <c r="C55" s="310"/>
    </row>
    <row r="56" spans="2:3" x14ac:dyDescent="0.3">
      <c r="B56" s="311"/>
      <c r="C56" s="310"/>
    </row>
    <row r="57" spans="2:3" x14ac:dyDescent="0.3">
      <c r="B57" s="311"/>
      <c r="C57" s="310"/>
    </row>
    <row r="58" spans="2:3" x14ac:dyDescent="0.3">
      <c r="B58" s="311"/>
      <c r="C58" s="310"/>
    </row>
    <row r="59" spans="2:3" x14ac:dyDescent="0.3">
      <c r="B59" s="311"/>
      <c r="C59" s="310"/>
    </row>
    <row r="60" spans="2:3" x14ac:dyDescent="0.3">
      <c r="B60" s="257"/>
    </row>
  </sheetData>
  <pageMargins left="0.7" right="0.7" top="0.75" bottom="0.75" header="0.3" footer="0.3"/>
  <pageSetup scale="62"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GI22"/>
  <sheetViews>
    <sheetView showGridLines="0" topLeftCell="A5" workbookViewId="0">
      <selection activeCell="M15" sqref="M15"/>
    </sheetView>
  </sheetViews>
  <sheetFormatPr defaultColWidth="8.84375" defaultRowHeight="14.5" x14ac:dyDescent="0.35"/>
  <cols>
    <col min="1" max="1" width="2.84375" style="28" customWidth="1"/>
    <col min="2" max="2" width="9.69140625" style="28" customWidth="1"/>
    <col min="3" max="3" width="11.07421875" style="28" customWidth="1"/>
    <col min="4" max="4" width="8.4609375" style="28" customWidth="1"/>
    <col min="5" max="5" width="9.69140625" style="28" customWidth="1"/>
    <col min="6" max="6" width="9.69140625" style="28" hidden="1" customWidth="1"/>
    <col min="7" max="7" width="11.53515625" style="28" customWidth="1"/>
    <col min="8" max="9" width="9.69140625" style="54" customWidth="1"/>
    <col min="10" max="10" width="2.765625" style="28" customWidth="1"/>
    <col min="11" max="11" width="2" style="28" customWidth="1"/>
    <col min="12" max="12" width="9.69140625" style="195" customWidth="1"/>
    <col min="13" max="191" width="9.69140625" style="28" customWidth="1"/>
    <col min="192" max="16384" width="8.84375" style="17"/>
  </cols>
  <sheetData>
    <row r="2" spans="2:14" ht="18" hidden="1" customHeight="1" x14ac:dyDescent="0.45">
      <c r="B2" s="354"/>
      <c r="C2" s="355"/>
      <c r="D2" s="355"/>
      <c r="E2" s="355"/>
      <c r="F2" s="355"/>
      <c r="G2" s="355"/>
      <c r="H2" s="355"/>
      <c r="I2" s="355"/>
      <c r="J2" s="356"/>
    </row>
    <row r="3" spans="2:14" ht="18" hidden="1" customHeight="1" x14ac:dyDescent="0.45">
      <c r="B3" s="368"/>
      <c r="C3" s="369"/>
      <c r="D3" s="369"/>
      <c r="E3" s="369"/>
      <c r="F3" s="369"/>
      <c r="G3" s="369"/>
      <c r="H3" s="369"/>
      <c r="I3" s="369"/>
      <c r="J3" s="370"/>
    </row>
    <row r="4" spans="2:14" ht="21" x14ac:dyDescent="0.5">
      <c r="B4" s="357" t="s">
        <v>53</v>
      </c>
      <c r="C4" s="358"/>
      <c r="D4" s="358"/>
      <c r="E4" s="358"/>
      <c r="F4" s="358"/>
      <c r="G4" s="358"/>
      <c r="H4" s="358"/>
      <c r="I4" s="358"/>
      <c r="J4" s="359"/>
    </row>
    <row r="5" spans="2:14" ht="18" customHeight="1" x14ac:dyDescent="0.35">
      <c r="B5" s="360" t="str">
        <f>'Debt Service'!B5</f>
        <v>Levee Road Water Association</v>
      </c>
      <c r="C5" s="361"/>
      <c r="D5" s="361"/>
      <c r="E5" s="361"/>
      <c r="F5" s="361"/>
      <c r="G5" s="361"/>
      <c r="H5" s="361"/>
      <c r="I5" s="361"/>
      <c r="J5" s="362"/>
    </row>
    <row r="6" spans="2:14" ht="6" customHeight="1" x14ac:dyDescent="0.35">
      <c r="B6" s="199"/>
      <c r="J6" s="200"/>
    </row>
    <row r="7" spans="2:14" hidden="1" x14ac:dyDescent="0.35">
      <c r="B7" s="199"/>
      <c r="J7" s="200"/>
    </row>
    <row r="8" spans="2:14" ht="18.5" x14ac:dyDescent="0.45">
      <c r="B8" s="365" t="s">
        <v>55</v>
      </c>
      <c r="C8" s="366"/>
      <c r="D8" s="366"/>
      <c r="E8" s="366"/>
      <c r="F8" s="366"/>
      <c r="G8" s="366"/>
      <c r="H8" s="366"/>
      <c r="I8" s="366"/>
      <c r="J8" s="367"/>
    </row>
    <row r="9" spans="2:14" ht="16" customHeight="1" x14ac:dyDescent="0.35">
      <c r="B9" s="371"/>
      <c r="C9" s="372"/>
      <c r="D9" s="372"/>
      <c r="E9" s="372"/>
      <c r="F9" s="372"/>
      <c r="G9" s="372"/>
      <c r="H9" s="372"/>
      <c r="I9" s="372"/>
      <c r="J9" s="373"/>
    </row>
    <row r="10" spans="2:14" ht="23" customHeight="1" x14ac:dyDescent="0.5">
      <c r="B10" s="363"/>
      <c r="C10" s="364"/>
      <c r="D10" s="31" t="s">
        <v>54</v>
      </c>
      <c r="E10" s="31" t="s">
        <v>9</v>
      </c>
      <c r="F10" s="31"/>
      <c r="G10" s="31"/>
      <c r="H10" s="31" t="s">
        <v>65</v>
      </c>
      <c r="I10" s="31" t="s">
        <v>311</v>
      </c>
      <c r="J10" s="201"/>
    </row>
    <row r="11" spans="2:14" x14ac:dyDescent="0.35">
      <c r="B11" s="30"/>
      <c r="C11" s="29" t="s">
        <v>219</v>
      </c>
      <c r="D11" s="32">
        <v>23.25</v>
      </c>
      <c r="E11" s="33">
        <f>ROUND(D11*(1+SAO!$G$60),5)</f>
        <v>26.534320000000001</v>
      </c>
      <c r="F11" s="32" t="e">
        <f>#REF!*(1+#REF!)</f>
        <v>#REF!</v>
      </c>
      <c r="G11" s="32" t="s">
        <v>309</v>
      </c>
      <c r="H11" s="206">
        <f>E11-D11</f>
        <v>3.284320000000001</v>
      </c>
      <c r="I11" s="207">
        <f>H11/D11</f>
        <v>0.14126107526881726</v>
      </c>
      <c r="J11" s="202"/>
      <c r="M11" s="196"/>
      <c r="N11" s="196"/>
    </row>
    <row r="12" spans="2:14" x14ac:dyDescent="0.35">
      <c r="B12" s="30"/>
      <c r="C12" s="29" t="s">
        <v>187</v>
      </c>
      <c r="D12" s="302">
        <v>8.0000000000000002E-3</v>
      </c>
      <c r="E12" s="304">
        <f>ROUND(D12*(1+SAO!$G$60),7)</f>
        <v>9.1301000000000004E-3</v>
      </c>
      <c r="F12" s="32"/>
      <c r="G12" s="32" t="s">
        <v>310</v>
      </c>
      <c r="H12" s="305">
        <f>E12-D12</f>
        <v>1.1301000000000002E-3</v>
      </c>
      <c r="I12" s="207">
        <f t="shared" ref="I12:I14" si="0">H12/D12</f>
        <v>0.14126250000000001</v>
      </c>
      <c r="J12" s="202"/>
      <c r="M12" s="196"/>
      <c r="N12" s="196"/>
    </row>
    <row r="13" spans="2:14" x14ac:dyDescent="0.35">
      <c r="B13" s="30"/>
      <c r="C13" s="29" t="s">
        <v>220</v>
      </c>
      <c r="D13" s="302">
        <v>6.0000000000000001E-3</v>
      </c>
      <c r="E13" s="304">
        <f>ROUND(D13*(1+SAO!$G$60),7)</f>
        <v>6.8475999999999997E-3</v>
      </c>
      <c r="F13" s="32"/>
      <c r="G13" s="32" t="s">
        <v>310</v>
      </c>
      <c r="H13" s="305">
        <f>E13-D13</f>
        <v>8.4759999999999957E-4</v>
      </c>
      <c r="I13" s="207">
        <f t="shared" ref="I13" si="1">H13/D13</f>
        <v>0.1412666666666666</v>
      </c>
      <c r="J13" s="202"/>
      <c r="M13" s="196"/>
      <c r="N13" s="196"/>
    </row>
    <row r="14" spans="2:14" x14ac:dyDescent="0.35">
      <c r="B14" s="30"/>
      <c r="C14" s="29" t="s">
        <v>221</v>
      </c>
      <c r="D14" s="303">
        <v>5.4999999999999997E-3</v>
      </c>
      <c r="E14" s="304">
        <f>ROUND(D14*(1+SAO!$G$60),7)</f>
        <v>6.2769000000000002E-3</v>
      </c>
      <c r="F14" s="214" t="e">
        <f>#REF!*(1+#REF!)</f>
        <v>#REF!</v>
      </c>
      <c r="G14" s="32" t="s">
        <v>310</v>
      </c>
      <c r="H14" s="305">
        <f>E14-D14</f>
        <v>7.7690000000000051E-4</v>
      </c>
      <c r="I14" s="207">
        <f t="shared" si="0"/>
        <v>0.14125454545454555</v>
      </c>
      <c r="J14" s="200"/>
      <c r="M14" s="196"/>
      <c r="N14" s="196"/>
    </row>
    <row r="15" spans="2:14" ht="18.5" x14ac:dyDescent="0.45">
      <c r="B15" s="292"/>
      <c r="D15" s="17"/>
      <c r="H15" s="306"/>
      <c r="I15" s="207"/>
      <c r="J15" s="200"/>
      <c r="M15" s="196"/>
      <c r="N15" s="196"/>
    </row>
    <row r="16" spans="2:14" x14ac:dyDescent="0.35">
      <c r="B16" s="199" t="s">
        <v>307</v>
      </c>
      <c r="C16" s="17"/>
      <c r="D16" s="299">
        <v>5.3299999999999997E-3</v>
      </c>
      <c r="E16" s="304">
        <f>ROUND(D16*(1+SAO!$G$60),7)</f>
        <v>6.0828999999999996E-3</v>
      </c>
      <c r="G16" s="32" t="s">
        <v>310</v>
      </c>
      <c r="H16" s="305">
        <f t="shared" ref="H16:H17" si="2">E16-D16</f>
        <v>7.5289999999999992E-4</v>
      </c>
      <c r="I16" s="207">
        <f t="shared" ref="I16:I17" si="3">H16/D16</f>
        <v>0.14125703564727954</v>
      </c>
      <c r="J16" s="200"/>
      <c r="M16" s="196"/>
      <c r="N16" s="196"/>
    </row>
    <row r="17" spans="2:14" x14ac:dyDescent="0.35">
      <c r="B17" s="199" t="s">
        <v>308</v>
      </c>
      <c r="C17" s="17"/>
      <c r="D17" s="299">
        <v>5.3299999999999997E-3</v>
      </c>
      <c r="E17" s="304">
        <f>ROUND(D17*(1+SAO!$G$60),7)</f>
        <v>6.0828999999999996E-3</v>
      </c>
      <c r="G17" s="32" t="s">
        <v>310</v>
      </c>
      <c r="H17" s="305">
        <f t="shared" si="2"/>
        <v>7.5289999999999992E-4</v>
      </c>
      <c r="I17" s="207">
        <f t="shared" si="3"/>
        <v>0.14125703564727954</v>
      </c>
      <c r="J17" s="200"/>
      <c r="M17" s="196"/>
      <c r="N17" s="196"/>
    </row>
    <row r="18" spans="2:14" ht="18.5" x14ac:dyDescent="0.45">
      <c r="B18" s="199"/>
      <c r="C18" s="293"/>
      <c r="D18" s="300"/>
      <c r="E18" s="293"/>
      <c r="F18" s="293"/>
      <c r="G18" s="293"/>
      <c r="H18" s="307"/>
      <c r="I18" s="293"/>
      <c r="J18" s="294"/>
    </row>
    <row r="19" spans="2:14" x14ac:dyDescent="0.35">
      <c r="B19" s="199"/>
      <c r="C19" s="28" t="s">
        <v>222</v>
      </c>
      <c r="D19" s="301">
        <v>5.8300000000000001E-3</v>
      </c>
      <c r="E19" s="304">
        <f>ROUND(D19*(1+SAO!$G$60),7)</f>
        <v>6.6536E-3</v>
      </c>
      <c r="G19" s="32" t="s">
        <v>310</v>
      </c>
      <c r="H19" s="305">
        <f>E19-D19</f>
        <v>8.2359999999999985E-4</v>
      </c>
      <c r="I19" s="207">
        <f>H19/D19</f>
        <v>0.14126929674099484</v>
      </c>
      <c r="J19" s="200"/>
    </row>
    <row r="20" spans="2:14" hidden="1" x14ac:dyDescent="0.35">
      <c r="B20" s="199"/>
      <c r="E20" s="33"/>
      <c r="H20" s="206"/>
      <c r="I20" s="207"/>
      <c r="J20" s="200"/>
    </row>
    <row r="21" spans="2:14" ht="16" hidden="1" x14ac:dyDescent="0.5">
      <c r="B21" s="350" t="s">
        <v>279</v>
      </c>
      <c r="C21" s="351"/>
      <c r="D21" s="31">
        <v>0</v>
      </c>
      <c r="E21" s="31">
        <f>'Water Loss'!D35</f>
        <v>0</v>
      </c>
      <c r="G21" s="28" t="s">
        <v>329</v>
      </c>
      <c r="H21" s="206">
        <f>E21-D21</f>
        <v>0</v>
      </c>
      <c r="I21" s="207">
        <v>1</v>
      </c>
      <c r="J21" s="200"/>
    </row>
    <row r="22" spans="2:14" x14ac:dyDescent="0.35">
      <c r="B22" s="352"/>
      <c r="C22" s="353"/>
      <c r="D22" s="203"/>
      <c r="E22" s="203"/>
      <c r="F22" s="204"/>
      <c r="G22" s="204"/>
      <c r="H22" s="208"/>
      <c r="I22" s="209"/>
      <c r="J22" s="205"/>
    </row>
  </sheetData>
  <mergeCells count="9">
    <mergeCell ref="B21:C21"/>
    <mergeCell ref="B22:C22"/>
    <mergeCell ref="B2:J2"/>
    <mergeCell ref="B4:J4"/>
    <mergeCell ref="B5:J5"/>
    <mergeCell ref="B10:C10"/>
    <mergeCell ref="B8:J8"/>
    <mergeCell ref="B3:J3"/>
    <mergeCell ref="B9:J9"/>
  </mergeCells>
  <printOptions horizontalCentered="1"/>
  <pageMargins left="0.55000000000000004" right="0.55000000000000004" top="1.6" bottom="0.5" header="0"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2:V29"/>
  <sheetViews>
    <sheetView showGridLines="0" topLeftCell="A3" workbookViewId="0">
      <selection activeCell="F12" sqref="F12"/>
    </sheetView>
  </sheetViews>
  <sheetFormatPr defaultColWidth="8.84375" defaultRowHeight="14.5" x14ac:dyDescent="0.35"/>
  <cols>
    <col min="1" max="1" width="3.07421875" style="7" customWidth="1"/>
    <col min="2" max="2" width="1.765625" style="7" customWidth="1"/>
    <col min="3" max="8" width="9.765625" style="7" customWidth="1"/>
    <col min="9" max="9" width="1.765625" style="7" customWidth="1"/>
    <col min="10" max="10" width="2.84375" style="7" customWidth="1"/>
    <col min="11" max="12" width="8.84375" style="7"/>
    <col min="13" max="13" width="0" style="7" hidden="1" customWidth="1"/>
    <col min="14" max="16384" width="8.84375" style="7"/>
  </cols>
  <sheetData>
    <row r="2" spans="2:22" ht="18.5" x14ac:dyDescent="0.45">
      <c r="B2" s="8"/>
      <c r="C2" s="9"/>
      <c r="D2" s="9"/>
      <c r="E2" s="9"/>
      <c r="F2" s="9"/>
      <c r="G2" s="9"/>
      <c r="H2" s="9"/>
      <c r="I2" s="10"/>
      <c r="K2" s="23"/>
      <c r="L2" s="382"/>
      <c r="M2" s="382"/>
      <c r="N2" s="382"/>
      <c r="O2" s="382"/>
      <c r="P2" s="382"/>
      <c r="Q2" s="382"/>
      <c r="R2" s="382"/>
      <c r="S2" s="382"/>
      <c r="T2" s="382"/>
      <c r="U2" s="382"/>
      <c r="V2" s="382"/>
    </row>
    <row r="3" spans="2:22" ht="18.5" x14ac:dyDescent="0.45">
      <c r="B3" s="374" t="s">
        <v>215</v>
      </c>
      <c r="C3" s="375"/>
      <c r="D3" s="375"/>
      <c r="E3" s="375"/>
      <c r="F3" s="375"/>
      <c r="G3" s="375"/>
      <c r="H3" s="375"/>
      <c r="I3" s="376"/>
      <c r="K3" s="23"/>
      <c r="L3" s="378"/>
      <c r="M3" s="378"/>
      <c r="N3" s="378"/>
      <c r="O3" s="378"/>
      <c r="P3" s="378"/>
      <c r="Q3" s="378"/>
      <c r="R3" s="378"/>
      <c r="S3" s="378"/>
      <c r="T3" s="378"/>
      <c r="U3" s="378"/>
      <c r="V3" s="328"/>
    </row>
    <row r="4" spans="2:22" ht="18.5" x14ac:dyDescent="0.45">
      <c r="B4" s="377" t="s">
        <v>174</v>
      </c>
      <c r="C4" s="378"/>
      <c r="D4" s="378"/>
      <c r="E4" s="378"/>
      <c r="F4" s="378"/>
      <c r="G4" s="378"/>
      <c r="H4" s="378"/>
      <c r="I4" s="379"/>
      <c r="K4" s="23"/>
      <c r="L4" s="383"/>
      <c r="M4" s="383"/>
      <c r="N4" s="383"/>
      <c r="O4" s="383"/>
      <c r="P4" s="383"/>
      <c r="Q4" s="383"/>
      <c r="R4" s="383"/>
      <c r="S4" s="383"/>
      <c r="T4" s="383"/>
      <c r="U4" s="383"/>
      <c r="V4" s="331"/>
    </row>
    <row r="5" spans="2:22" ht="15.5" x14ac:dyDescent="0.35">
      <c r="B5" s="380" t="str">
        <f>'Debt Service'!B5</f>
        <v>Levee Road Water Association</v>
      </c>
      <c r="C5" s="346"/>
      <c r="D5" s="346"/>
      <c r="E5" s="346"/>
      <c r="F5" s="346"/>
      <c r="G5" s="346"/>
      <c r="H5" s="346"/>
      <c r="I5" s="381"/>
      <c r="K5" s="23"/>
      <c r="L5" s="346"/>
      <c r="M5" s="346"/>
      <c r="N5" s="346"/>
      <c r="O5" s="346"/>
      <c r="P5" s="346"/>
      <c r="Q5" s="346"/>
      <c r="R5" s="346"/>
      <c r="S5" s="346"/>
      <c r="T5" s="346"/>
      <c r="U5" s="346"/>
      <c r="V5" s="23"/>
    </row>
    <row r="6" spans="2:22" x14ac:dyDescent="0.35">
      <c r="B6" s="13"/>
      <c r="C6" s="5"/>
      <c r="D6" s="5"/>
      <c r="E6" s="5"/>
      <c r="F6" s="5"/>
      <c r="G6" s="5"/>
      <c r="H6" s="5"/>
      <c r="I6" s="14"/>
      <c r="K6" s="6"/>
      <c r="L6" s="6"/>
      <c r="M6" s="6"/>
      <c r="N6" s="6"/>
      <c r="O6" s="6"/>
      <c r="P6" s="6"/>
      <c r="Q6" s="6"/>
      <c r="R6" s="6"/>
      <c r="S6" s="6"/>
      <c r="T6" s="6"/>
      <c r="U6" s="6"/>
      <c r="V6" s="6"/>
    </row>
    <row r="7" spans="2:22" ht="6" customHeight="1" x14ac:dyDescent="0.35">
      <c r="B7" s="11"/>
      <c r="C7" s="6"/>
      <c r="D7" s="12"/>
      <c r="E7" s="38"/>
      <c r="F7" s="39"/>
      <c r="G7" s="39"/>
      <c r="H7" s="39"/>
      <c r="I7" s="40"/>
      <c r="J7" s="37"/>
      <c r="K7" s="6"/>
      <c r="L7" s="6"/>
      <c r="M7" s="6"/>
      <c r="N7" s="6"/>
      <c r="O7" s="6"/>
      <c r="P7" s="6"/>
      <c r="Q7" s="6"/>
      <c r="R7" s="6"/>
      <c r="S7" s="6"/>
      <c r="T7" s="6"/>
      <c r="U7" s="6"/>
      <c r="V7" s="6"/>
    </row>
    <row r="8" spans="2:22" ht="16" x14ac:dyDescent="0.5">
      <c r="B8" s="11"/>
      <c r="C8" s="16" t="s">
        <v>12</v>
      </c>
      <c r="D8" s="36" t="s">
        <v>64</v>
      </c>
      <c r="E8" s="41" t="s">
        <v>23</v>
      </c>
      <c r="F8" s="16" t="s">
        <v>9</v>
      </c>
      <c r="G8" s="16"/>
      <c r="H8" s="16"/>
      <c r="I8" s="36"/>
      <c r="K8" s="23"/>
      <c r="L8" s="312"/>
      <c r="M8" s="312"/>
      <c r="N8" s="313"/>
      <c r="O8" s="316"/>
      <c r="P8" s="316"/>
      <c r="Q8" s="312"/>
      <c r="R8" s="313"/>
      <c r="S8" s="313"/>
      <c r="T8" s="313"/>
      <c r="U8" s="312"/>
      <c r="V8" s="39"/>
    </row>
    <row r="9" spans="2:22" ht="16" x14ac:dyDescent="0.5">
      <c r="B9" s="11"/>
      <c r="C9" s="16" t="s">
        <v>70</v>
      </c>
      <c r="D9" s="36" t="s">
        <v>68</v>
      </c>
      <c r="E9" s="41" t="s">
        <v>66</v>
      </c>
      <c r="F9" s="16" t="s">
        <v>66</v>
      </c>
      <c r="G9" s="16" t="s">
        <v>24</v>
      </c>
      <c r="H9" s="16" t="s">
        <v>67</v>
      </c>
      <c r="I9" s="36"/>
      <c r="K9" s="23"/>
      <c r="L9" s="312"/>
      <c r="M9" s="312"/>
      <c r="N9" s="313"/>
      <c r="O9" s="23"/>
      <c r="P9" s="313"/>
      <c r="Q9" s="312"/>
      <c r="R9" s="313"/>
      <c r="S9" s="313"/>
      <c r="T9" s="313"/>
      <c r="U9" s="312"/>
      <c r="V9" s="312"/>
    </row>
    <row r="10" spans="2:22" ht="16" x14ac:dyDescent="0.5">
      <c r="B10" s="11"/>
      <c r="C10" s="17">
        <v>0</v>
      </c>
      <c r="D10" s="42"/>
      <c r="E10" s="30">
        <f>Rates!D$11</f>
        <v>23.25</v>
      </c>
      <c r="F10" s="30">
        <f>Rates!E$11</f>
        <v>26.534320000000001</v>
      </c>
      <c r="G10" s="52">
        <f>F10-E10</f>
        <v>3.284320000000001</v>
      </c>
      <c r="H10" s="75">
        <f>G10/E10</f>
        <v>0.14126107526881726</v>
      </c>
      <c r="I10" s="46"/>
      <c r="K10" s="23"/>
      <c r="L10" s="332"/>
      <c r="M10" s="317"/>
      <c r="N10" s="173"/>
      <c r="O10" s="173"/>
      <c r="P10" s="173"/>
      <c r="Q10" s="315"/>
      <c r="R10" s="173"/>
      <c r="S10" s="173"/>
      <c r="T10" s="314"/>
      <c r="U10" s="315"/>
      <c r="V10" s="312"/>
    </row>
    <row r="11" spans="2:22" x14ac:dyDescent="0.35">
      <c r="B11" s="11"/>
      <c r="C11" s="6">
        <v>2000</v>
      </c>
      <c r="D11" s="42"/>
      <c r="E11" s="30">
        <f>Rates!D$11</f>
        <v>23.25</v>
      </c>
      <c r="F11" s="30">
        <f>Rates!E$11</f>
        <v>26.534320000000001</v>
      </c>
      <c r="G11" s="17">
        <f t="shared" ref="G11:G18" si="0">F11-E11</f>
        <v>3.284320000000001</v>
      </c>
      <c r="H11" s="75">
        <f t="shared" ref="H11:H25" si="1">G11/E11</f>
        <v>0.14126107526881726</v>
      </c>
      <c r="I11" s="46"/>
      <c r="K11" s="23"/>
      <c r="L11" s="23"/>
      <c r="M11" s="317"/>
      <c r="N11" s="173"/>
      <c r="O11" s="173"/>
      <c r="P11" s="173"/>
      <c r="Q11" s="315"/>
      <c r="R11" s="173"/>
      <c r="S11" s="173"/>
      <c r="T11" s="314"/>
      <c r="U11" s="315"/>
      <c r="V11" s="318"/>
    </row>
    <row r="12" spans="2:22" x14ac:dyDescent="0.35">
      <c r="B12" s="11"/>
      <c r="C12" s="47">
        <v>4000</v>
      </c>
      <c r="D12" s="48"/>
      <c r="E12" s="226">
        <f>Rates!D$11+(C12-2000)*Rates!D12</f>
        <v>39.25</v>
      </c>
      <c r="F12" s="325">
        <f>Rates!E$11+(C12-2000)*Rates!E12</f>
        <v>44.794520000000006</v>
      </c>
      <c r="G12" s="329">
        <f t="shared" si="0"/>
        <v>5.5445200000000057</v>
      </c>
      <c r="H12" s="330">
        <f t="shared" si="1"/>
        <v>0.14126165605095556</v>
      </c>
      <c r="I12" s="49"/>
      <c r="K12" s="23"/>
      <c r="L12" s="335"/>
      <c r="M12" s="336"/>
      <c r="N12" s="337"/>
      <c r="O12" s="337"/>
      <c r="P12" s="337"/>
      <c r="Q12" s="338"/>
      <c r="R12" s="337"/>
      <c r="S12" s="337"/>
      <c r="T12" s="339"/>
      <c r="U12" s="338"/>
      <c r="V12" s="318"/>
    </row>
    <row r="13" spans="2:22" x14ac:dyDescent="0.35">
      <c r="B13" s="11"/>
      <c r="C13" s="6">
        <v>6000</v>
      </c>
      <c r="D13" s="42"/>
      <c r="E13" s="228">
        <f>Rates!D$11+4000*Rates!D$12</f>
        <v>55.25</v>
      </c>
      <c r="F13" s="326">
        <f>Rates!E$11+4000*Rates!E$12</f>
        <v>63.054720000000003</v>
      </c>
      <c r="G13" s="329">
        <f t="shared" si="0"/>
        <v>7.8047200000000032</v>
      </c>
      <c r="H13" s="330">
        <f t="shared" si="1"/>
        <v>0.14126190045248874</v>
      </c>
      <c r="I13" s="46"/>
      <c r="K13" s="23"/>
      <c r="L13" s="23"/>
      <c r="M13" s="317"/>
      <c r="N13" s="173"/>
      <c r="O13" s="173"/>
      <c r="P13" s="173"/>
      <c r="Q13" s="315"/>
      <c r="R13" s="173"/>
      <c r="S13" s="173"/>
      <c r="T13" s="314"/>
      <c r="U13" s="315"/>
      <c r="V13" s="333"/>
    </row>
    <row r="14" spans="2:22" x14ac:dyDescent="0.35">
      <c r="B14" s="11"/>
      <c r="C14" s="6">
        <v>8000</v>
      </c>
      <c r="D14" s="42"/>
      <c r="E14" s="228">
        <f>Rates!D$11+5000*Rates!D$12+(C14-7000)*Rates!D$13</f>
        <v>69.25</v>
      </c>
      <c r="F14" s="326">
        <f>Rates!E$11+5000*Rates!E$12+(C14-7000)*Rates!E$13</f>
        <v>79.032420000000002</v>
      </c>
      <c r="G14" s="329">
        <f t="shared" si="0"/>
        <v>9.7824200000000019</v>
      </c>
      <c r="H14" s="330">
        <f t="shared" si="1"/>
        <v>0.14126238267148017</v>
      </c>
      <c r="I14" s="46"/>
      <c r="K14" s="23"/>
      <c r="L14" s="23"/>
      <c r="M14" s="317"/>
      <c r="N14" s="173"/>
      <c r="O14" s="173"/>
      <c r="P14" s="173"/>
      <c r="Q14" s="315"/>
      <c r="R14" s="173"/>
      <c r="S14" s="173"/>
      <c r="T14" s="314"/>
      <c r="U14" s="315"/>
      <c r="V14" s="318"/>
    </row>
    <row r="15" spans="2:22" x14ac:dyDescent="0.35">
      <c r="B15" s="11"/>
      <c r="C15" s="6">
        <v>10000</v>
      </c>
      <c r="D15" s="42"/>
      <c r="E15" s="228">
        <f>Rates!D$11+5000*Rates!D$12+(C15-7000)*Rates!D$13</f>
        <v>81.25</v>
      </c>
      <c r="F15" s="326">
        <f>Rates!E$11+5000*Rates!E$12+(C15-7000)*Rates!E$13</f>
        <v>92.727620000000002</v>
      </c>
      <c r="G15" s="329">
        <f t="shared" si="0"/>
        <v>11.477620000000002</v>
      </c>
      <c r="H15" s="330">
        <f t="shared" si="1"/>
        <v>0.14126301538461541</v>
      </c>
      <c r="I15" s="46"/>
      <c r="K15" s="23"/>
      <c r="L15" s="23"/>
      <c r="M15" s="317"/>
      <c r="N15" s="173"/>
      <c r="O15" s="173"/>
      <c r="P15" s="173"/>
      <c r="Q15" s="315"/>
      <c r="R15" s="173"/>
      <c r="S15" s="173"/>
      <c r="T15" s="314"/>
      <c r="U15" s="315"/>
      <c r="V15" s="318"/>
    </row>
    <row r="16" spans="2:22" x14ac:dyDescent="0.35">
      <c r="B16" s="11"/>
      <c r="C16" s="6">
        <v>15000</v>
      </c>
      <c r="D16" s="42"/>
      <c r="E16" s="228">
        <f>Rates!D$11+5000*Rates!D$12+8000*Rates!D$13</f>
        <v>111.25</v>
      </c>
      <c r="F16" s="326">
        <f>Rates!E$11+5000*Rates!E$12+8000*Rates!E$13</f>
        <v>126.96562</v>
      </c>
      <c r="G16" s="329">
        <f t="shared" si="0"/>
        <v>15.715620000000001</v>
      </c>
      <c r="H16" s="330">
        <f t="shared" si="1"/>
        <v>0.141264</v>
      </c>
      <c r="I16" s="46"/>
      <c r="K16" s="23"/>
      <c r="L16" s="23"/>
      <c r="M16" s="317"/>
      <c r="N16" s="173"/>
      <c r="O16" s="173"/>
      <c r="P16" s="173"/>
      <c r="Q16" s="315"/>
      <c r="R16" s="173"/>
      <c r="S16" s="173"/>
      <c r="T16" s="314"/>
      <c r="U16" s="315"/>
      <c r="V16" s="318"/>
    </row>
    <row r="17" spans="2:22" x14ac:dyDescent="0.35">
      <c r="B17" s="11"/>
      <c r="C17" s="6">
        <v>20000</v>
      </c>
      <c r="D17" s="42"/>
      <c r="E17" s="228">
        <f>Rates!D$11+5000*Rates!D$12+13000*Rates!D$13</f>
        <v>141.25</v>
      </c>
      <c r="F17" s="326">
        <f>Rates!E$11+5000*Rates!E$12+13000*Rates!E$13</f>
        <v>161.20362</v>
      </c>
      <c r="G17" s="329">
        <f t="shared" si="0"/>
        <v>19.953620000000001</v>
      </c>
      <c r="H17" s="330">
        <f t="shared" si="1"/>
        <v>0.14126456637168142</v>
      </c>
      <c r="I17" s="46"/>
      <c r="K17" s="23"/>
      <c r="L17" s="23"/>
      <c r="M17" s="317"/>
      <c r="N17" s="173"/>
      <c r="O17" s="173"/>
      <c r="P17" s="173"/>
      <c r="Q17" s="315"/>
      <c r="R17" s="173"/>
      <c r="S17" s="173"/>
      <c r="T17" s="314"/>
      <c r="U17" s="315"/>
      <c r="V17" s="318"/>
    </row>
    <row r="18" spans="2:22" x14ac:dyDescent="0.35">
      <c r="B18" s="11"/>
      <c r="C18" s="6">
        <v>25000</v>
      </c>
      <c r="D18" s="43"/>
      <c r="E18" s="228">
        <f>Rates!D$11+5000*Rates!D$12+13000*Rates!D$13+(C18-20000)*Rates!D$14</f>
        <v>168.75</v>
      </c>
      <c r="F18" s="327">
        <f>Rates!E$11+5000*Rates!E$12+13000*Rates!E$13+(C18-20000)*Rates!E$14</f>
        <v>192.58812</v>
      </c>
      <c r="G18" s="329">
        <f t="shared" si="0"/>
        <v>23.838120000000004</v>
      </c>
      <c r="H18" s="330">
        <f t="shared" si="1"/>
        <v>0.14126293333333337</v>
      </c>
      <c r="I18" s="46"/>
      <c r="K18" s="23"/>
      <c r="L18" s="23"/>
      <c r="M18" s="21"/>
      <c r="N18" s="173"/>
      <c r="O18" s="173"/>
      <c r="P18" s="173"/>
      <c r="Q18" s="315"/>
      <c r="R18" s="173"/>
      <c r="S18" s="173"/>
      <c r="T18" s="314"/>
      <c r="U18" s="315"/>
      <c r="V18" s="318"/>
    </row>
    <row r="19" spans="2:22" x14ac:dyDescent="0.35">
      <c r="B19" s="11"/>
      <c r="C19" s="6">
        <v>30000</v>
      </c>
      <c r="D19" s="43"/>
      <c r="E19" s="247">
        <f>Rates!D$11+5000*Rates!D$12+13000*Rates!D$13+(C19-20000)*Rates!D$14</f>
        <v>196.25</v>
      </c>
      <c r="F19" s="327">
        <f>Rates!E$11+5000*Rates!E$12+13000*Rates!E$13+(C19-20000)*Rates!E$14</f>
        <v>223.97262000000001</v>
      </c>
      <c r="G19" s="329">
        <f t="shared" ref="G19:G25" si="2">F19-E19</f>
        <v>27.722620000000006</v>
      </c>
      <c r="H19" s="330">
        <f t="shared" si="1"/>
        <v>0.14126175796178347</v>
      </c>
      <c r="I19" s="46"/>
      <c r="K19" s="23"/>
      <c r="L19" s="23"/>
      <c r="M19" s="21"/>
      <c r="N19" s="173"/>
      <c r="O19" s="173"/>
      <c r="P19" s="173"/>
      <c r="Q19" s="315"/>
      <c r="R19" s="173"/>
      <c r="S19" s="173"/>
      <c r="T19" s="314"/>
      <c r="U19" s="315"/>
      <c r="V19" s="318"/>
    </row>
    <row r="20" spans="2:22" x14ac:dyDescent="0.35">
      <c r="B20" s="11"/>
      <c r="C20" s="6">
        <v>40000</v>
      </c>
      <c r="D20" s="43"/>
      <c r="E20" s="247">
        <f>Rates!D$11+5000*Rates!D$12+13000*Rates!D$13+(C20-20000)*Rates!D$14</f>
        <v>251.25</v>
      </c>
      <c r="F20" s="327">
        <f>Rates!E$11+5000*Rates!E$12+13000*Rates!E$13+(C20-20000)*Rates!E$14</f>
        <v>286.74162000000001</v>
      </c>
      <c r="G20" s="329">
        <f t="shared" si="2"/>
        <v>35.491620000000012</v>
      </c>
      <c r="H20" s="330">
        <f t="shared" si="1"/>
        <v>0.14126017910447766</v>
      </c>
      <c r="I20" s="46"/>
      <c r="K20" s="23"/>
      <c r="L20" s="23"/>
      <c r="M20" s="21"/>
      <c r="N20" s="173"/>
      <c r="O20" s="173"/>
      <c r="P20" s="173"/>
      <c r="Q20" s="315"/>
      <c r="R20" s="173"/>
      <c r="S20" s="173"/>
      <c r="T20" s="314"/>
      <c r="U20" s="315"/>
      <c r="V20" s="318"/>
    </row>
    <row r="21" spans="2:22" x14ac:dyDescent="0.35">
      <c r="B21" s="11"/>
      <c r="C21" s="6">
        <v>50000</v>
      </c>
      <c r="D21" s="43"/>
      <c r="E21" s="247">
        <f>Rates!D$11+5000*Rates!D$12+13000*Rates!D$13+(C21-20000)*Rates!D$14</f>
        <v>306.25</v>
      </c>
      <c r="F21" s="327">
        <f>Rates!E$11+5000*Rates!E$12+13000*Rates!E$13+(C21-20000)*Rates!E$14</f>
        <v>349.51062000000002</v>
      </c>
      <c r="G21" s="329">
        <f t="shared" si="2"/>
        <v>43.260620000000017</v>
      </c>
      <c r="H21" s="330">
        <f t="shared" si="1"/>
        <v>0.14125916734693883</v>
      </c>
      <c r="I21" s="46"/>
      <c r="K21" s="23"/>
      <c r="L21" s="23"/>
      <c r="M21" s="21"/>
      <c r="N21" s="173"/>
      <c r="O21" s="173"/>
      <c r="P21" s="173"/>
      <c r="Q21" s="315"/>
      <c r="R21" s="173"/>
      <c r="S21" s="173"/>
      <c r="T21" s="314"/>
      <c r="U21" s="315"/>
      <c r="V21" s="318"/>
    </row>
    <row r="22" spans="2:22" x14ac:dyDescent="0.35">
      <c r="B22" s="11"/>
      <c r="C22" s="6">
        <v>75000</v>
      </c>
      <c r="D22" s="43"/>
      <c r="E22" s="247">
        <f>Rates!D$11+5000*Rates!D$12+13000*Rates!D$13+(C22-20000)*Rates!D$14</f>
        <v>443.75</v>
      </c>
      <c r="F22" s="327">
        <f>Rates!E$11+5000*Rates!E$12+13000*Rates!E$13+(C22-20000)*Rates!E$14</f>
        <v>506.43312000000003</v>
      </c>
      <c r="G22" s="329">
        <f t="shared" si="2"/>
        <v>62.683120000000031</v>
      </c>
      <c r="H22" s="330">
        <f t="shared" si="1"/>
        <v>0.14125773521126767</v>
      </c>
      <c r="I22" s="46"/>
      <c r="K22" s="23"/>
      <c r="L22" s="23"/>
      <c r="M22" s="21"/>
      <c r="N22" s="173"/>
      <c r="O22" s="173"/>
      <c r="P22" s="173"/>
      <c r="Q22" s="315"/>
      <c r="R22" s="173"/>
      <c r="S22" s="173"/>
      <c r="T22" s="314"/>
      <c r="U22" s="315"/>
      <c r="V22" s="318"/>
    </row>
    <row r="23" spans="2:22" x14ac:dyDescent="0.35">
      <c r="B23" s="11"/>
      <c r="C23" s="6">
        <v>100000</v>
      </c>
      <c r="D23" s="43"/>
      <c r="E23" s="247">
        <f>Rates!D$11+5000*Rates!D$12+13000*Rates!D$13+(C23-20000)*Rates!D$14</f>
        <v>581.25</v>
      </c>
      <c r="F23" s="327">
        <f>Rates!E$11+5000*Rates!E$12+13000*Rates!E$13+(C23-20000)*Rates!E$14</f>
        <v>663.35562000000004</v>
      </c>
      <c r="G23" s="329">
        <f t="shared" si="2"/>
        <v>82.105620000000044</v>
      </c>
      <c r="H23" s="330">
        <f t="shared" si="1"/>
        <v>0.14125698064516137</v>
      </c>
      <c r="I23" s="46"/>
      <c r="K23" s="23"/>
      <c r="L23" s="23"/>
      <c r="M23" s="21"/>
      <c r="N23" s="173"/>
      <c r="O23" s="173"/>
      <c r="P23" s="173"/>
      <c r="Q23" s="315"/>
      <c r="R23" s="173"/>
      <c r="S23" s="173"/>
      <c r="T23" s="314"/>
      <c r="U23" s="315"/>
      <c r="V23" s="318"/>
    </row>
    <row r="24" spans="2:22" x14ac:dyDescent="0.35">
      <c r="B24" s="11"/>
      <c r="C24" s="6">
        <v>200000</v>
      </c>
      <c r="D24" s="43"/>
      <c r="E24" s="247">
        <f>Rates!D$11+5000*Rates!D$12+13000*Rates!D$13+(C24-20000)*Rates!D$14</f>
        <v>1131.25</v>
      </c>
      <c r="F24" s="327">
        <f>Rates!E$11+5000*Rates!E$12+13000*Rates!E$13+(C24-20000)*Rates!E$14</f>
        <v>1291.0456200000001</v>
      </c>
      <c r="G24" s="329">
        <f t="shared" si="2"/>
        <v>159.7956200000001</v>
      </c>
      <c r="H24" s="330">
        <f t="shared" si="1"/>
        <v>0.14125579668508295</v>
      </c>
      <c r="I24" s="46"/>
      <c r="K24" s="23"/>
      <c r="L24" s="23"/>
      <c r="M24" s="21"/>
      <c r="N24" s="173"/>
      <c r="O24" s="173"/>
      <c r="P24" s="173"/>
      <c r="Q24" s="315"/>
      <c r="R24" s="173"/>
      <c r="S24" s="173"/>
      <c r="T24" s="314"/>
      <c r="U24" s="315"/>
      <c r="V24" s="318"/>
    </row>
    <row r="25" spans="2:22" x14ac:dyDescent="0.35">
      <c r="B25" s="11"/>
      <c r="C25" s="6">
        <v>500000</v>
      </c>
      <c r="D25" s="43"/>
      <c r="E25" s="247">
        <f>Rates!D$11+5000*Rates!D$12+13000*Rates!D$13+(C25-20000)*Rates!D$14</f>
        <v>2781.25</v>
      </c>
      <c r="F25" s="327">
        <f>Rates!E$11+5000*Rates!E$12+13000*Rates!E$13+(C25-20000)*Rates!E$14</f>
        <v>3174.1156200000005</v>
      </c>
      <c r="G25" s="329">
        <f t="shared" si="2"/>
        <v>392.86562000000049</v>
      </c>
      <c r="H25" s="330">
        <f t="shared" si="1"/>
        <v>0.14125505438202265</v>
      </c>
      <c r="I25" s="46"/>
      <c r="K25" s="23"/>
      <c r="L25" s="23"/>
      <c r="M25" s="21"/>
      <c r="N25" s="173"/>
      <c r="O25" s="173"/>
      <c r="P25" s="173"/>
      <c r="Q25" s="315"/>
      <c r="R25" s="173"/>
      <c r="S25" s="173"/>
      <c r="T25" s="314"/>
      <c r="U25" s="315"/>
      <c r="V25" s="318"/>
    </row>
    <row r="26" spans="2:22" ht="6" customHeight="1" x14ac:dyDescent="0.35">
      <c r="B26" s="13"/>
      <c r="C26" s="5"/>
      <c r="D26" s="4"/>
      <c r="E26" s="45"/>
      <c r="F26" s="44"/>
      <c r="G26" s="44"/>
      <c r="H26" s="5"/>
      <c r="I26" s="14"/>
      <c r="K26" s="23"/>
      <c r="L26" s="23"/>
      <c r="M26"/>
      <c r="N26" s="173"/>
      <c r="O26" s="173"/>
      <c r="P26" s="173"/>
      <c r="Q26" s="173"/>
      <c r="R26" s="173"/>
      <c r="S26" s="173"/>
      <c r="T26" s="173"/>
      <c r="U26" s="23"/>
      <c r="V26" s="318"/>
    </row>
    <row r="27" spans="2:22" x14ac:dyDescent="0.35">
      <c r="K27" s="23"/>
      <c r="L27" s="23"/>
      <c r="M27" s="23"/>
      <c r="N27" s="173"/>
      <c r="O27" s="173"/>
      <c r="P27" s="173"/>
      <c r="Q27" s="173"/>
      <c r="R27" s="173"/>
      <c r="S27" s="173"/>
      <c r="T27" s="173"/>
      <c r="U27" s="23"/>
      <c r="V27" s="23"/>
    </row>
    <row r="28" spans="2:22" x14ac:dyDescent="0.35">
      <c r="D28" s="53" t="s">
        <v>71</v>
      </c>
      <c r="K28" s="23"/>
      <c r="L28" s="23"/>
      <c r="M28" s="6"/>
      <c r="N28" s="334"/>
      <c r="O28" s="173"/>
      <c r="P28" s="173"/>
      <c r="Q28" s="173"/>
      <c r="R28" s="173"/>
      <c r="S28" s="173"/>
      <c r="T28" s="173"/>
      <c r="U28" s="23"/>
      <c r="V28" s="23"/>
    </row>
    <row r="29" spans="2:22" x14ac:dyDescent="0.35">
      <c r="V29" s="18"/>
    </row>
  </sheetData>
  <mergeCells count="7">
    <mergeCell ref="B3:I3"/>
    <mergeCell ref="B4:I4"/>
    <mergeCell ref="B5:I5"/>
    <mergeCell ref="L2:V2"/>
    <mergeCell ref="L5:U5"/>
    <mergeCell ref="L3:U3"/>
    <mergeCell ref="L4:U4"/>
  </mergeCells>
  <printOptions horizontalCentered="1"/>
  <pageMargins left="0.7" right="0.7" top="1.1000000000000001"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SAO</vt:lpstr>
      <vt:lpstr>References</vt:lpstr>
      <vt:lpstr>Wages</vt:lpstr>
      <vt:lpstr>Depreciation</vt:lpstr>
      <vt:lpstr>Debt Service</vt:lpstr>
      <vt:lpstr>Capital</vt:lpstr>
      <vt:lpstr>Water Loss</vt:lpstr>
      <vt:lpstr>Rates</vt:lpstr>
      <vt:lpstr>Bills</vt:lpstr>
      <vt:lpstr>ExBA</vt:lpstr>
      <vt:lpstr>PrBA</vt:lpstr>
      <vt:lpstr>Bills!Print_Area</vt:lpstr>
      <vt:lpstr>'Debt Service'!Print_Area</vt:lpstr>
      <vt:lpstr>Depreciation!Print_Area</vt:lpstr>
      <vt:lpstr>PrBA!Print_Area</vt:lpstr>
      <vt:lpstr>Rates!Print_Area</vt:lpstr>
      <vt:lpstr>SAO!Print_Area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Janet Reid</cp:lastModifiedBy>
  <cp:lastPrinted>2024-03-13T19:31:01Z</cp:lastPrinted>
  <dcterms:created xsi:type="dcterms:W3CDTF">2016-05-18T14:12:06Z</dcterms:created>
  <dcterms:modified xsi:type="dcterms:W3CDTF">2024-04-03T15:44:04Z</dcterms:modified>
</cp:coreProperties>
</file>