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8dba73962b2cd367/Documents/Butler ARF App/Application/Butler_2nd_DR_Response/PDF/"/>
    </mc:Choice>
  </mc:AlternateContent>
  <xr:revisionPtr revIDLastSave="0" documentId="8_{6121DBBF-0CB9-4C3B-8595-7E569204A289}"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4240" windowHeight="13020" activeTab="1"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2" l="1"/>
  <c r="F36" i="13"/>
  <c r="F36" i="12"/>
  <c r="F36" i="11"/>
  <c r="F36" i="10"/>
  <c r="F36" i="9"/>
  <c r="F36" i="8"/>
  <c r="F36" i="7"/>
  <c r="F36" i="6"/>
  <c r="F39" i="6"/>
  <c r="F36" i="5"/>
  <c r="F36" i="4"/>
  <c r="F36" i="3"/>
  <c r="F39" i="13"/>
  <c r="F37" i="13"/>
  <c r="F29" i="13"/>
  <c r="F28" i="13"/>
  <c r="F37" i="12"/>
  <c r="F29" i="12"/>
  <c r="F28" i="12"/>
  <c r="F39" i="11"/>
  <c r="F28" i="11"/>
  <c r="F39" i="10"/>
  <c r="F37" i="10"/>
  <c r="F29" i="10"/>
  <c r="F28" i="10"/>
  <c r="F39" i="9"/>
  <c r="F37" i="9"/>
  <c r="F28" i="9"/>
  <c r="F39" i="8"/>
  <c r="F29" i="8"/>
  <c r="F28" i="8"/>
  <c r="F39" i="7"/>
  <c r="F29" i="7"/>
  <c r="F28" i="7"/>
  <c r="F28" i="6"/>
  <c r="F39" i="5"/>
  <c r="F37" i="5"/>
  <c r="F29" i="5"/>
  <c r="F28" i="5"/>
  <c r="F17" i="13"/>
  <c r="F16" i="13"/>
  <c r="F17" i="12"/>
  <c r="F16" i="12"/>
  <c r="F17" i="11"/>
  <c r="F16" i="11"/>
  <c r="F17" i="10"/>
  <c r="F16" i="10"/>
  <c r="F17" i="9"/>
  <c r="F16" i="9"/>
  <c r="F17" i="8"/>
  <c r="F16" i="8"/>
  <c r="F17" i="7"/>
  <c r="F16" i="7"/>
  <c r="F17" i="6"/>
  <c r="F16" i="6"/>
  <c r="F17" i="5"/>
  <c r="F16" i="5"/>
  <c r="F17" i="4"/>
  <c r="F16" i="4"/>
  <c r="F39" i="4"/>
  <c r="F37" i="4"/>
  <c r="F29" i="4"/>
  <c r="F28" i="4"/>
  <c r="F11" i="13"/>
  <c r="F11" i="12"/>
  <c r="F11" i="11"/>
  <c r="F11" i="10"/>
  <c r="F11" i="9"/>
  <c r="F11" i="8"/>
  <c r="F11" i="7"/>
  <c r="F11" i="6"/>
  <c r="F11" i="5"/>
  <c r="F11" i="4"/>
  <c r="F39" i="3"/>
  <c r="F37" i="3"/>
  <c r="F28" i="3"/>
  <c r="F17" i="3"/>
  <c r="F16" i="3"/>
  <c r="F11" i="3"/>
  <c r="F39" i="2"/>
  <c r="F28" i="2"/>
  <c r="F11" i="2"/>
  <c r="F17" i="2"/>
  <c r="F16" i="2"/>
  <c r="F34" i="14"/>
  <c r="F35" i="14"/>
  <c r="F37" i="14"/>
  <c r="F38" i="14"/>
  <c r="F39" i="14"/>
  <c r="F40" i="2"/>
  <c r="F40" i="3"/>
  <c r="F40" i="10"/>
  <c r="F40" i="11"/>
  <c r="F40" i="12"/>
  <c r="F40" i="13"/>
  <c r="F40" i="9"/>
  <c r="F40" i="8"/>
  <c r="F40" i="7"/>
  <c r="F40" i="6"/>
  <c r="F40" i="5"/>
  <c r="F40" i="4"/>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5" i="6"/>
  <c r="F45" i="7"/>
  <c r="F45" i="8"/>
  <c r="F45" i="9"/>
  <c r="F45" i="10"/>
  <c r="F45" i="11"/>
  <c r="F45" i="12"/>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<sst xmlns="http://schemas.openxmlformats.org/spreadsheetml/2006/main" count="567" uniqueCount="92">
  <si>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</si>
  <si>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</si>
  <si>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</si>
  <si>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</si>
  <si>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</si>
  <si>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</si>
  <si>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</si>
  <si>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</si>
  <si>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</si>
  <si>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</si>
  <si>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</si>
  <si>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</si>
  <si>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</si>
  <si>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</si>
  <si>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</si>
  <si>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</si>
  <si>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</si>
  <si>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</si>
  <si>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</si>
  <si>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</si>
  <si>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</si>
  <si>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</si>
  <si>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</si>
  <si>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</si>
  <si>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</si>
  <si>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</si>
  <si>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</si>
  <si>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</si>
  <si>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</si>
  <si>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</si>
  <si>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</si>
  <si>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</si>
  <si>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</si>
  <si>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</si>
  <si>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</si>
  <si>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</si>
  <si>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</si>
  <si>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</si>
  <si>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</si>
  <si>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</si>
  <si>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</si>
  <si>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</si>
  <si>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</si>
  <si>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</si>
  <si>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</si>
  <si>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</si>
  <si>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</si>
  <si>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</si>
  <si>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</si>
  <si>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</si>
  <si>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</si>
  <si>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</si>
  <si>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</si>
  <si>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</si>
  <si>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</si>
  <si>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</si>
  <si>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</si>
  <si>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</si>
  <si>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</si>
  <si>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</si>
  <si>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</si>
  <si>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</si>
  <si>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</si>
  <si>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</si>
  <si>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</si>
  <si>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</si>
  <si>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</si>
  <si>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</si>
  <si>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</si>
  <si>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</si>
  <si>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</si>
  <si>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</si>
  <si>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</si>
  <si>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</si>
  <si>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</si>
  <si>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</si>
  <si>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</si>
  <si>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</si>
  <si>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</si>
  <si>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</si>
  <si>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</si>
  <si>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</si>
  <si>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</si>
  <si>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</si>
  <si>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</si>
  <si>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</si>
  <si>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</si>
  <si>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</si>
  <si>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</si>
  <si>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</si>
  <si>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Butler County Water System Inc.</t>
  </si>
  <si>
    <t>Busted meter bottoms, yokes, cutoffs, regulators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</si>
</sst>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ColWidth="8.88671875"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23"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37</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28295907/1000</f>
        <v>28295.906999999999</v>
      </c>
    </row>
    <row r="12" spans="1:6" x14ac:dyDescent="0.2">
      <c r="A12" s="16">
        <v>3</v>
      </c>
      <c r="B12" s="20" t="s">
        <v>8</v>
      </c>
      <c r="F12" s="28"/>
    </row>
    <row r="13" spans="1:6" ht="15.75" x14ac:dyDescent="0.25">
      <c r="A13" s="16">
        <v>4</v>
      </c>
      <c r="B13" s="47" t="s">
        <v>9</v>
      </c>
      <c r="C13" s="48"/>
      <c r="D13" s="48"/>
      <c r="E13" s="48"/>
      <c r="F13" s="4">
        <f>SUM(F11:F12)</f>
        <v>28295.906999999999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19115139/1000</f>
        <v>19115.138999999999</v>
      </c>
    </row>
    <row r="17" spans="1:7" x14ac:dyDescent="0.2">
      <c r="A17" s="16">
        <v>8</v>
      </c>
      <c r="B17" s="20" t="s">
        <v>12</v>
      </c>
      <c r="F17" s="28">
        <f>3120156/1000</f>
        <v>3120.1559999999999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22235.294999999998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352807/1000</f>
        <v>352.80700000000002</v>
      </c>
    </row>
    <row r="29" spans="1:7" x14ac:dyDescent="0.2">
      <c r="A29" s="16">
        <v>20</v>
      </c>
      <c r="B29" s="20" t="s">
        <v>40</v>
      </c>
      <c r="F29" s="28">
        <f>5200/1000</f>
        <v>5.2</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358.00700000000001</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4609740/1000+1044.96</f>
        <v>5654.7</v>
      </c>
    </row>
    <row r="37" spans="1:7" x14ac:dyDescent="0.2">
      <c r="A37" s="16">
        <v>28</v>
      </c>
      <c r="B37" s="20" t="s">
        <v>27</v>
      </c>
      <c r="F37" s="28">
        <f>40800/1000</f>
        <v>40.799999999999997</v>
      </c>
    </row>
    <row r="38" spans="1:7" x14ac:dyDescent="0.2">
      <c r="A38" s="16">
        <v>29</v>
      </c>
      <c r="B38" s="20" t="s">
        <v>28</v>
      </c>
      <c r="F38" s="28"/>
    </row>
    <row r="39" spans="1:7" x14ac:dyDescent="0.2">
      <c r="A39" s="16">
        <v>30</v>
      </c>
      <c r="B39" s="20" t="s">
        <v>89</v>
      </c>
      <c r="D39" s="22" t="s">
        <v>91</v>
      </c>
      <c r="E39" s="39"/>
      <c r="F39" s="28">
        <f>7105/1000</f>
        <v>7.1050000000000004</v>
      </c>
      <c r="G39" s="24" t="str">
        <f>IF(AND(F39&gt;0,D39=""),"Explanation for Other Loss Must be Filled In","")</f>
        <v/>
      </c>
    </row>
    <row r="40" spans="1:7" ht="15.75" x14ac:dyDescent="0.25">
      <c r="A40" s="16">
        <v>31</v>
      </c>
      <c r="B40" s="47" t="s">
        <v>65</v>
      </c>
      <c r="C40" s="48"/>
      <c r="D40" s="48"/>
      <c r="E40" s="48"/>
      <c r="F40" s="4">
        <f>SUM(F34:F39)</f>
        <v>5702.6049999999996</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0.20153462477806419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topLeftCell="A29"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38</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28400158/1000</f>
        <v>28400.157999999999</v>
      </c>
    </row>
    <row r="12" spans="1:6" x14ac:dyDescent="0.2">
      <c r="A12" s="16">
        <v>3</v>
      </c>
      <c r="B12" s="20" t="s">
        <v>8</v>
      </c>
      <c r="F12" s="28"/>
    </row>
    <row r="13" spans="1:6" ht="15.75" x14ac:dyDescent="0.25">
      <c r="A13" s="16">
        <v>4</v>
      </c>
      <c r="B13" s="47" t="s">
        <v>9</v>
      </c>
      <c r="C13" s="48"/>
      <c r="D13" s="48"/>
      <c r="E13" s="48"/>
      <c r="F13" s="4">
        <f>SUM(F11:F12)</f>
        <v>28400.157999999999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18932475/1000</f>
        <v>18932.474999999999</v>
      </c>
    </row>
    <row r="17" spans="1:7" x14ac:dyDescent="0.2">
      <c r="A17" s="16">
        <v>8</v>
      </c>
      <c r="B17" s="20" t="s">
        <v>12</v>
      </c>
      <c r="F17" s="28">
        <f>3433635/1000</f>
        <v>3433.6350000000002</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22366.11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316772/1000</f>
        <v>316.77199999999999</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316.77199999999999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3957673/1000+1719.36</f>
        <v>5677.0329999999994</v>
      </c>
    </row>
    <row r="37" spans="1:7" x14ac:dyDescent="0.2">
      <c r="A37" s="16">
        <v>28</v>
      </c>
      <c r="B37" s="20" t="s">
        <v>27</v>
      </c>
      <c r="F37" s="28">
        <v>33</v>
      </c>
    </row>
    <row r="38" spans="1:7" x14ac:dyDescent="0.2">
      <c r="A38" s="16">
        <v>29</v>
      </c>
      <c r="B38" s="20" t="s">
        <v>28</v>
      </c>
      <c r="F38" s="28"/>
    </row>
    <row r="39" spans="1:7" x14ac:dyDescent="0.2">
      <c r="A39" s="16">
        <v>30</v>
      </c>
      <c r="B39" s="20" t="s">
        <v>89</v>
      </c>
      <c r="D39" s="22" t="s">
        <v>91</v>
      </c>
      <c r="E39" s="39"/>
      <c r="F39" s="28">
        <f>7243/1000</f>
        <v>7.2430000000000003</v>
      </c>
      <c r="G39" s="24" t="str">
        <f>IF(AND(F39&gt;0,D39=""),"Explanation for Other Loss Must be Filled In","")</f>
        <v/>
      </c>
    </row>
    <row r="40" spans="1:7" ht="15.75" x14ac:dyDescent="0.25">
      <c r="A40" s="16">
        <v>31</v>
      </c>
      <c r="B40" s="47" t="s">
        <v>65</v>
      </c>
      <c r="C40" s="48"/>
      <c r="D40" s="48"/>
      <c r="E40" s="48"/>
      <c r="F40" s="4">
        <f>SUM(F34:F39)</f>
        <v>5717.2759999999998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0.20131141523930959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30"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39</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27488053/1000</f>
        <v>27488.053</v>
      </c>
    </row>
    <row r="12" spans="1:6" x14ac:dyDescent="0.2">
      <c r="A12" s="16">
        <v>3</v>
      </c>
      <c r="B12" s="20" t="s">
        <v>8</v>
      </c>
      <c r="F12" s="28"/>
    </row>
    <row r="13" spans="1:6" ht="15.75" x14ac:dyDescent="0.25">
      <c r="A13" s="16">
        <v>4</v>
      </c>
      <c r="B13" s="47" t="s">
        <v>9</v>
      </c>
      <c r="C13" s="48"/>
      <c r="D13" s="48"/>
      <c r="E13" s="48"/>
      <c r="F13" s="4">
        <f>SUM(F11:F12)</f>
        <v>27488.053</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18193223/1000</f>
        <v>18193.223000000002</v>
      </c>
    </row>
    <row r="17" spans="1:7" x14ac:dyDescent="0.2">
      <c r="A17" s="16">
        <v>8</v>
      </c>
      <c r="B17" s="20" t="s">
        <v>12</v>
      </c>
      <c r="F17" s="28">
        <f>3059431/1000</f>
        <v>3059.431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21252.654000000002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731995/1000</f>
        <v>731.995</v>
      </c>
    </row>
    <row r="29" spans="1:7" x14ac:dyDescent="0.2">
      <c r="A29" s="16">
        <v>20</v>
      </c>
      <c r="B29" s="20" t="s">
        <v>40</v>
      </c>
      <c r="F29" s="28">
        <f>12650/1000</f>
        <v>12.65</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744.64499999999998</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66</v>
      </c>
    </row>
    <row r="36" spans="1:7" x14ac:dyDescent="0.2">
      <c r="A36" s="16">
        <v>27</v>
      </c>
      <c r="B36" s="20" t="s">
        <v>26</v>
      </c>
      <c r="F36" s="28">
        <f>3364894/1000+2052.66</f>
        <v>5417.5540000000001</v>
      </c>
    </row>
    <row r="37" spans="1:7" x14ac:dyDescent="0.2">
      <c r="A37" s="16">
        <v>28</v>
      </c>
      <c r="B37" s="20" t="s">
        <v>27</v>
      </c>
      <c r="F37" s="28">
        <f>7200/1000</f>
        <v>7.2</v>
      </c>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5490.7539999999999</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0.19975056072541769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27"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85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26895955/1000</f>
        <v>26895.955000000002</v>
      </c>
    </row>
    <row r="12" spans="1:6" x14ac:dyDescent="0.2">
      <c r="A12" s="16">
        <v>3</v>
      </c>
      <c r="B12" s="20" t="s">
        <v>8</v>
      </c>
      <c r="F12" s="28"/>
    </row>
    <row r="13" spans="1:6" ht="15.75" x14ac:dyDescent="0.25">
      <c r="A13" s="16">
        <v>4</v>
      </c>
      <c r="B13" s="47" t="s">
        <v>9</v>
      </c>
      <c r="C13" s="48"/>
      <c r="D13" s="48"/>
      <c r="E13" s="48"/>
      <c r="F13" s="4">
        <f>SUM(F11:F12)</f>
        <v>26895.955000000002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18076748/1000</f>
        <v>18076.748</v>
      </c>
    </row>
    <row r="17" spans="1:7" x14ac:dyDescent="0.2">
      <c r="A17" s="16">
        <v>8</v>
      </c>
      <c r="B17" s="20" t="s">
        <v>12</v>
      </c>
      <c r="F17" s="28">
        <f>3384089/1000</f>
        <v>3384.0889999999999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21460.837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482719/1000</f>
        <v>482.71899999999999</v>
      </c>
    </row>
    <row r="29" spans="1:7" x14ac:dyDescent="0.2">
      <c r="A29" s="16">
        <v>20</v>
      </c>
      <c r="B29" s="20" t="s">
        <v>40</v>
      </c>
      <c r="F29" s="28">
        <f>20000/1000</f>
        <v>20</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502.71899999999999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18</v>
      </c>
    </row>
    <row r="36" spans="1:7" x14ac:dyDescent="0.2">
      <c r="A36" s="16">
        <v>27</v>
      </c>
      <c r="B36" s="20" t="s">
        <v>26</v>
      </c>
      <c r="F36" s="28">
        <f>3378873/1000+1435.68</f>
        <v>4814.5529999999999</v>
      </c>
    </row>
    <row r="37" spans="1:7" x14ac:dyDescent="0.2">
      <c r="A37" s="16">
        <v>28</v>
      </c>
      <c r="B37" s="20" t="s">
        <v>27</v>
      </c>
      <c r="F37" s="28">
        <f>15750/1000</f>
        <v>15.75</v>
      </c>
    </row>
    <row r="38" spans="1:7" x14ac:dyDescent="0.2">
      <c r="A38" s="16">
        <v>29</v>
      </c>
      <c r="B38" s="20" t="s">
        <v>28</v>
      </c>
      <c r="F38" s="28"/>
    </row>
    <row r="39" spans="1:7" x14ac:dyDescent="0.2">
      <c r="A39" s="16">
        <v>30</v>
      </c>
      <c r="B39" s="20" t="s">
        <v>89</v>
      </c>
      <c r="D39" s="22" t="s">
        <v>91</v>
      </c>
      <c r="E39" s="39"/>
      <c r="F39" s="28">
        <f>84096/1000</f>
        <v>84.096000000000004</v>
      </c>
      <c r="G39" s="24" t="str">
        <f>IF(AND(F39&gt;0,D39=""),"Explanation for Other Loss Must be Filled In","")</f>
        <v/>
      </c>
    </row>
    <row r="40" spans="1:7" ht="15.75" x14ac:dyDescent="0.25">
      <c r="A40" s="16">
        <v>31</v>
      </c>
      <c r="B40" s="47" t="s">
        <v>65</v>
      </c>
      <c r="C40" s="48"/>
      <c r="D40" s="48"/>
      <c r="E40" s="48"/>
      <c r="F40" s="4">
        <f>SUM(F34:F39)</f>
        <v>4932.3989999999994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0.18338813401494758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zoomScaleNormal="100" workbookViewId="0">
      <selection activeCell="F40" sqref="F40"/>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42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338506.40500000003</v>
      </c>
    </row>
    <row r="12" spans="1:6" x14ac:dyDescent="0.2">
      <c r="A12" s="16">
        <v>3</v>
      </c>
      <c r="B12" s="20" t="s">
        <v>8</v>
      </c>
      <c r="F12" s="34">
        <f>Jan!F12+Feb!F12+Mar!F12+Apr!F12+May!F12+Jun!F12+July!F12+Aug!F12+Sept!F12+Oct!F12+Nov!F12+Dec!F12</f>
        <v>0</v>
      </c>
    </row>
    <row r="13" spans="1:6" ht="15.75" x14ac:dyDescent="0.25">
      <c r="A13" s="16">
        <v>4</v>
      </c>
      <c r="B13" s="47" t="s">
        <v>9</v>
      </c>
      <c r="C13" s="48"/>
      <c r="D13" s="48"/>
      <c r="E13" s="48"/>
      <c r="F13" s="8">
        <f>Jan!F13+Feb!F13+Mar!F13+Apr!F13+May!F13+Jun!F13+July!F13+Aug!F13+Sept!F13+Oct!F13+Nov!F13+Dec!F13</f>
        <v>338506.40500000003</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226975.59100000001</v>
      </c>
    </row>
    <row r="17" spans="1:7" x14ac:dyDescent="0.2">
      <c r="A17" s="16">
        <v>8</v>
      </c>
      <c r="B17" s="20" t="s">
        <v>12</v>
      </c>
      <c r="F17" s="34">
        <f>Jan!F17+Feb!F17+Mar!F17+Apr!F17+May!F17+Jun!F17+July!F17+Aug!F17+Sept!F17+Oct!F17+Nov!F17+Dec!F17</f>
        <v>40642.262000000002</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0</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267617.853</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5</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3513.596</v>
      </c>
    </row>
    <row r="29" spans="1:7" x14ac:dyDescent="0.2">
      <c r="A29" s="16">
        <v>20</v>
      </c>
      <c r="B29" s="20" t="s">
        <v>40</v>
      </c>
      <c r="F29" s="34">
        <f>Jan!F29+Feb!F29+Mar!F29+Apr!F29+May!F29+Jun!F29+July!F29+Aug!F29+Sept!F29+Oct!F29+Nov!F29+Dec!F29</f>
        <v>67.38</v>
      </c>
    </row>
    <row r="30" spans="1:7" x14ac:dyDescent="0.2">
      <c r="A30" s="16">
        <v>21</v>
      </c>
      <c r="B30" s="20" t="s">
        <v>44</v>
      </c>
      <c r="D30" s="23"/>
      <c r="E30" s="23"/>
      <c r="F30" s="34">
        <f>Jan!F30+Feb!F30+Mar!F30+Apr!F30+May!F30+Jun!F30+July!F30+Aug!F30+Sept!F30+Oct!F30+Nov!F30+Dec!F30</f>
        <v>0</v>
      </c>
      <c r="G30" s="24"/>
    </row>
    <row r="31" spans="1:7" ht="15.75" x14ac:dyDescent="0.25">
      <c r="A31" s="16">
        <v>22</v>
      </c>
      <c r="B31" s="47" t="s">
        <v>22</v>
      </c>
      <c r="C31" s="48"/>
      <c r="D31" s="48"/>
      <c r="E31" s="48"/>
      <c r="F31" s="8">
        <f>Jan!F31+Feb!F31+Mar!F31+Apr!F31+May!F31+Jun!F31+July!F31+Aug!F31+Sept!F31+Oct!F31+Nov!F31+Dec!F31</f>
        <v>3585.9760000000001</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0</v>
      </c>
    </row>
    <row r="35" spans="1:6" x14ac:dyDescent="0.2">
      <c r="A35" s="16">
        <v>26</v>
      </c>
      <c r="B35" s="20" t="s">
        <v>25</v>
      </c>
      <c r="F35" s="34">
        <f>Jan!F35+Feb!F35+Mar!F35+Apr!F35+May!F35+Jun!F35+July!F35+Aug!F35+Sept!F35+Oct!F35+Nov!F35+Dec!F35</f>
        <v>189</v>
      </c>
    </row>
    <row r="36" spans="1:6" x14ac:dyDescent="0.2">
      <c r="A36" s="16">
        <v>27</v>
      </c>
      <c r="B36" s="20" t="s">
        <v>26</v>
      </c>
      <c r="F36" s="34">
        <f>Jan!F36+Feb!F36+Mar!F36+Apr!F36+May!F36+Jun!F36+July!F36+Aug!F36+Sept!F36+Oct!F36+Nov!F36+Dec!F36</f>
        <v>66349.452000000005</v>
      </c>
    </row>
    <row r="37" spans="1:6" x14ac:dyDescent="0.2">
      <c r="A37" s="16">
        <v>28</v>
      </c>
      <c r="B37" s="20" t="s">
        <v>27</v>
      </c>
      <c r="F37" s="34">
        <f>Jan!F37+Feb!F37+Mar!F37+Apr!F37+May!F37+Jun!F37+July!F37+Aug!F37+Sept!F37+Oct!F37+Nov!F37+Dec!F37</f>
        <v>339.75</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424.37399999999997</v>
      </c>
    </row>
    <row r="40" spans="1:6" ht="15.75" x14ac:dyDescent="0.25">
      <c r="A40" s="16">
        <v>31</v>
      </c>
      <c r="B40" s="47" t="s">
        <v>65</v>
      </c>
      <c r="C40" s="48"/>
      <c r="D40" s="48"/>
      <c r="E40" s="48"/>
      <c r="F40" s="8">
        <f>Jan!F40+Feb!F40+Mar!F40+Apr!F40+May!F40+Jun!F40+July!F40+Aug!F40+Sept!F40+Oct!F40+Nov!F40+Dec!F40</f>
        <v>67302.576000000001</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0.19882216408874154</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abSelected="1" zoomScaleNormal="100" workbookViewId="0">
      <selection activeCell="F16" sqref="F16"/>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t="s">
        <v>90</v>
      </c>
      <c r="E5" s="44"/>
      <c r="F5" s="45"/>
    </row>
    <row r="6" spans="1:6" ht="18" x14ac:dyDescent="0.25">
      <c r="A6" s="12"/>
    </row>
    <row r="7" spans="1:6" ht="18" x14ac:dyDescent="0.25">
      <c r="A7" s="12" t="s">
        <v>2</v>
      </c>
      <c r="D7" s="13" t="s">
        <v>29</v>
      </c>
      <c r="E7" s="14" t="s">
        <v>3</v>
      </c>
      <c r="F7" s="15">
        <v>2023</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f>30297015/1000</f>
        <v>30297.014999999999</v>
      </c>
    </row>
    <row r="12" spans="1:6" x14ac:dyDescent="0.2">
      <c r="A12" s="16">
        <v>3</v>
      </c>
      <c r="B12" s="20" t="s">
        <v>8</v>
      </c>
      <c r="F12" s="28"/>
    </row>
    <row r="13" spans="1:6" ht="15.75" x14ac:dyDescent="0.25">
      <c r="A13" s="16">
        <v>4</v>
      </c>
      <c r="B13" s="40" t="s">
        <v>9</v>
      </c>
      <c r="C13" s="41"/>
      <c r="D13" s="41"/>
      <c r="E13" s="41"/>
      <c r="F13" s="8">
        <f>SUM(F11:F12)</f>
        <v>30297.014999999999</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f>20110788/1000</f>
        <v>20110.788</v>
      </c>
    </row>
    <row r="17" spans="1:7" x14ac:dyDescent="0.2">
      <c r="A17" s="16">
        <v>8</v>
      </c>
      <c r="B17" s="20" t="s">
        <v>12</v>
      </c>
      <c r="F17" s="28">
        <f>4074683/1000</f>
        <v>4074.683</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24185.471000000001</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v>5</v>
      </c>
    </row>
    <row r="27" spans="1:7" x14ac:dyDescent="0.2">
      <c r="A27" s="16">
        <v>18</v>
      </c>
      <c r="B27" s="20" t="s">
        <v>20</v>
      </c>
      <c r="F27" s="28"/>
    </row>
    <row r="28" spans="1:7" x14ac:dyDescent="0.2">
      <c r="A28" s="16">
        <v>19</v>
      </c>
      <c r="B28" s="20" t="s">
        <v>21</v>
      </c>
      <c r="F28" s="28">
        <f>83374/1000</f>
        <v>83.373999999999995</v>
      </c>
    </row>
    <row r="29" spans="1:7" x14ac:dyDescent="0.2">
      <c r="A29" s="16">
        <v>20</v>
      </c>
      <c r="B29" s="20" t="s">
        <v>40</v>
      </c>
      <c r="F29" s="28">
        <v>2</v>
      </c>
    </row>
    <row r="30" spans="1:7" x14ac:dyDescent="0.2">
      <c r="A30" s="16">
        <v>21</v>
      </c>
      <c r="B30" s="20" t="s">
        <v>44</v>
      </c>
      <c r="D30" s="22"/>
      <c r="E30" s="23"/>
      <c r="F30" s="29"/>
      <c r="G30" s="24" t="str">
        <f>IF(AND(F30&gt;0,D30=""),"Explanation for Other Usage Must be Filled In","")</f>
        <v/>
      </c>
    </row>
    <row r="31" spans="1:7" ht="15.75" x14ac:dyDescent="0.25">
      <c r="A31" s="16">
        <v>22</v>
      </c>
      <c r="B31" s="40" t="s">
        <v>22</v>
      </c>
      <c r="C31" s="41"/>
      <c r="D31" s="41"/>
      <c r="E31" s="41"/>
      <c r="F31" s="8">
        <f>IF(AND(F30&gt;0,D30&lt;&gt;""),SUM(F26:F30),IF(F30=0,SUM(F26:F30),""))</f>
        <v>90.373999999999995</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4679122/1000+1306.08-5</f>
        <v>5980.2020000000002</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40968/1000</f>
        <v>40.968000000000004</v>
      </c>
      <c r="G39" s="24" t="str">
        <f>IF(AND(F39&gt;0,D39=""),"Explanation for Other Loss Must be Filled In","")</f>
        <v/>
      </c>
    </row>
    <row r="40" spans="1:7" ht="15.75" x14ac:dyDescent="0.25">
      <c r="A40" s="16">
        <v>31</v>
      </c>
      <c r="B40" s="40" t="s">
        <v>65</v>
      </c>
      <c r="C40" s="41"/>
      <c r="D40" s="41"/>
      <c r="E40" s="41"/>
      <c r="F40" s="8">
        <f>SUM(F34:F39)</f>
        <v>6021.17</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0.1987380604986993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topLeftCell="A21"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30</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29269110/1000</f>
        <v>29269.11</v>
      </c>
    </row>
    <row r="12" spans="1:6" x14ac:dyDescent="0.2">
      <c r="A12" s="16">
        <v>3</v>
      </c>
      <c r="B12" s="20" t="s">
        <v>8</v>
      </c>
      <c r="F12" s="28"/>
    </row>
    <row r="13" spans="1:6" ht="15.75" x14ac:dyDescent="0.25">
      <c r="A13" s="16">
        <v>4</v>
      </c>
      <c r="B13" s="47" t="s">
        <v>9</v>
      </c>
      <c r="C13" s="48"/>
      <c r="D13" s="48"/>
      <c r="E13" s="48"/>
      <c r="F13" s="4">
        <f>SUM(F11:F12)</f>
        <v>29269.11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19703460/1000</f>
        <v>19703.46</v>
      </c>
    </row>
    <row r="17" spans="1:7" x14ac:dyDescent="0.2">
      <c r="A17" s="16">
        <v>8</v>
      </c>
      <c r="B17" s="20" t="s">
        <v>12</v>
      </c>
      <c r="F17" s="28">
        <f>3291511/1000</f>
        <v>3291.511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22994.970999999998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314378/1000</f>
        <v>314.37799999999999</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314.37799999999999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5554080/1000+310.92</f>
        <v>5865</v>
      </c>
    </row>
    <row r="37" spans="1:7" x14ac:dyDescent="0.2">
      <c r="A37" s="16">
        <v>28</v>
      </c>
      <c r="B37" s="20" t="s">
        <v>27</v>
      </c>
      <c r="F37" s="28">
        <f>24000/1000</f>
        <v>24</v>
      </c>
    </row>
    <row r="38" spans="1:7" x14ac:dyDescent="0.2">
      <c r="A38" s="16">
        <v>29</v>
      </c>
      <c r="B38" s="20" t="s">
        <v>28</v>
      </c>
      <c r="F38" s="28"/>
    </row>
    <row r="39" spans="1:7" x14ac:dyDescent="0.2">
      <c r="A39" s="16">
        <v>30</v>
      </c>
      <c r="B39" s="20" t="s">
        <v>89</v>
      </c>
      <c r="D39" s="22" t="s">
        <v>91</v>
      </c>
      <c r="E39" s="39"/>
      <c r="F39" s="28">
        <f>70761/1000</f>
        <v>70.760999999999996</v>
      </c>
      <c r="G39" s="24" t="str">
        <f>IF(AND(F39&gt;0,D39=""),"Explanation for Other Loss Must be Filled In","")</f>
        <v/>
      </c>
    </row>
    <row r="40" spans="1:7" ht="15.75" x14ac:dyDescent="0.25">
      <c r="A40" s="16">
        <v>31</v>
      </c>
      <c r="B40" s="47" t="s">
        <v>65</v>
      </c>
      <c r="C40" s="48"/>
      <c r="D40" s="48"/>
      <c r="E40" s="48"/>
      <c r="F40" s="4">
        <f>SUM(F34:F39)</f>
        <v>5959.7610000000004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0.20361948142598119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opLeftCell="A22"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31</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25214260/1000</f>
        <v>25214.26</v>
      </c>
    </row>
    <row r="12" spans="1:6" x14ac:dyDescent="0.2">
      <c r="A12" s="16">
        <v>3</v>
      </c>
      <c r="B12" s="20" t="s">
        <v>8</v>
      </c>
      <c r="F12" s="28"/>
    </row>
    <row r="13" spans="1:6" ht="15.75" x14ac:dyDescent="0.25">
      <c r="A13" s="16">
        <v>4</v>
      </c>
      <c r="B13" s="47" t="s">
        <v>9</v>
      </c>
      <c r="C13" s="48"/>
      <c r="D13" s="48"/>
      <c r="E13" s="48"/>
      <c r="F13" s="4">
        <f>SUM(F11:F12)</f>
        <v>25214.26</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16288019/1000</f>
        <v>16288.019</v>
      </c>
    </row>
    <row r="17" spans="1:7" x14ac:dyDescent="0.2">
      <c r="A17" s="16">
        <v>8</v>
      </c>
      <c r="B17" s="20" t="s">
        <v>12</v>
      </c>
      <c r="F17" s="28">
        <f>2944431/1000</f>
        <v>2944.431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19232.45</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111930/1000</f>
        <v>111.93</v>
      </c>
    </row>
    <row r="29" spans="1:7" x14ac:dyDescent="0.2">
      <c r="A29" s="16">
        <v>20</v>
      </c>
      <c r="B29" s="20" t="s">
        <v>40</v>
      </c>
      <c r="F29" s="28">
        <f>15305/1000</f>
        <v>15.305</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127.23500000000001</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5228583/1000+581.76</f>
        <v>5810.3429999999998</v>
      </c>
    </row>
    <row r="37" spans="1:7" x14ac:dyDescent="0.2">
      <c r="A37" s="16">
        <v>28</v>
      </c>
      <c r="B37" s="20" t="s">
        <v>27</v>
      </c>
      <c r="F37" s="28">
        <f>42000/1000</f>
        <v>42</v>
      </c>
    </row>
    <row r="38" spans="1:7" x14ac:dyDescent="0.2">
      <c r="A38" s="16">
        <v>29</v>
      </c>
      <c r="B38" s="20" t="s">
        <v>28</v>
      </c>
      <c r="F38" s="28"/>
    </row>
    <row r="39" spans="1:7" x14ac:dyDescent="0.2">
      <c r="A39" s="16">
        <v>30</v>
      </c>
      <c r="B39" s="20" t="s">
        <v>89</v>
      </c>
      <c r="D39" s="22" t="s">
        <v>91</v>
      </c>
      <c r="E39" s="39"/>
      <c r="F39" s="28">
        <f>2232/1000</f>
        <v>2.2320000000000002</v>
      </c>
      <c r="G39" s="24" t="str">
        <f>IF(AND(F39&gt;0,D39=""),"Explanation for Other Loss Must be Filled In","")</f>
        <v/>
      </c>
    </row>
    <row r="40" spans="1:7" ht="15.75" x14ac:dyDescent="0.25">
      <c r="A40" s="16">
        <v>31</v>
      </c>
      <c r="B40" s="47" t="s">
        <v>65</v>
      </c>
      <c r="C40" s="48"/>
      <c r="D40" s="48"/>
      <c r="E40" s="48"/>
      <c r="F40" s="4">
        <f>SUM(F34:F39)</f>
        <v>5854.5749999999998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0.23219301300137304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22"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25443941/1000</f>
        <v>25443.940999999999</v>
      </c>
    </row>
    <row r="12" spans="1:6" x14ac:dyDescent="0.2">
      <c r="A12" s="16">
        <v>3</v>
      </c>
      <c r="B12" s="20" t="s">
        <v>8</v>
      </c>
      <c r="F12" s="28"/>
    </row>
    <row r="13" spans="1:6" ht="15.75" x14ac:dyDescent="0.25">
      <c r="A13" s="16">
        <v>4</v>
      </c>
      <c r="B13" s="47" t="s">
        <v>9</v>
      </c>
      <c r="C13" s="48"/>
      <c r="D13" s="48"/>
      <c r="E13" s="48"/>
      <c r="F13" s="4">
        <f>SUM(F11:F12)</f>
        <v>25443.940999999999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16746969/1000</f>
        <v>16746.969000000001</v>
      </c>
    </row>
    <row r="17" spans="1:7" x14ac:dyDescent="0.2">
      <c r="A17" s="16">
        <v>8</v>
      </c>
      <c r="B17" s="20" t="s">
        <v>12</v>
      </c>
      <c r="F17" s="28">
        <f>2851573/1000</f>
        <v>2851.5729999999999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19598.542000000001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231020/1000</f>
        <v>231.02</v>
      </c>
    </row>
    <row r="29" spans="1:7" x14ac:dyDescent="0.2">
      <c r="A29" s="16">
        <v>20</v>
      </c>
      <c r="B29" s="20" t="s">
        <v>40</v>
      </c>
      <c r="F29" s="28">
        <f>2225/1000</f>
        <v>2.2250000000000001</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233.245</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5243497/1000+241.5</f>
        <v>5484.9970000000003</v>
      </c>
    </row>
    <row r="37" spans="1:7" x14ac:dyDescent="0.2">
      <c r="A37" s="16">
        <v>28</v>
      </c>
      <c r="B37" s="20" t="s">
        <v>27</v>
      </c>
      <c r="F37" s="28">
        <f>84000/1000</f>
        <v>84</v>
      </c>
    </row>
    <row r="38" spans="1:7" x14ac:dyDescent="0.2">
      <c r="A38" s="16">
        <v>29</v>
      </c>
      <c r="B38" s="20" t="s">
        <v>28</v>
      </c>
      <c r="F38" s="28"/>
    </row>
    <row r="39" spans="1:7" x14ac:dyDescent="0.2">
      <c r="A39" s="16">
        <v>30</v>
      </c>
      <c r="B39" s="20" t="s">
        <v>89</v>
      </c>
      <c r="D39" s="22" t="s">
        <v>91</v>
      </c>
      <c r="E39" s="39"/>
      <c r="F39" s="28">
        <f>43157/1000</f>
        <v>43.156999999999996</v>
      </c>
      <c r="G39" s="24" t="str">
        <f>IF(AND(F39&gt;0,D39=""),"Explanation for Other Loss Must be Filled In","")</f>
        <v/>
      </c>
    </row>
    <row r="40" spans="1:7" ht="15.75" x14ac:dyDescent="0.25">
      <c r="A40" s="16">
        <v>31</v>
      </c>
      <c r="B40" s="47" t="s">
        <v>65</v>
      </c>
      <c r="C40" s="48"/>
      <c r="D40" s="48"/>
      <c r="E40" s="48"/>
      <c r="F40" s="4">
        <f>SUM(F34:F39)</f>
        <v>5612.1540000000005</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0.22056936855811765</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opLeftCell="A28"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33</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27783900/1000</f>
        <v>27783.9</v>
      </c>
    </row>
    <row r="12" spans="1:6" x14ac:dyDescent="0.2">
      <c r="A12" s="16">
        <v>3</v>
      </c>
      <c r="B12" s="20" t="s">
        <v>8</v>
      </c>
      <c r="F12" s="28"/>
    </row>
    <row r="13" spans="1:6" ht="15.75" x14ac:dyDescent="0.25">
      <c r="A13" s="16">
        <v>4</v>
      </c>
      <c r="B13" s="47" t="s">
        <v>9</v>
      </c>
      <c r="C13" s="48"/>
      <c r="D13" s="48"/>
      <c r="E13" s="48"/>
      <c r="F13" s="4">
        <f>SUM(F11:F12)</f>
        <v>27783.9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18351734/1000</f>
        <v>18351.734</v>
      </c>
    </row>
    <row r="17" spans="1:7" x14ac:dyDescent="0.2">
      <c r="A17" s="16">
        <v>8</v>
      </c>
      <c r="B17" s="20" t="s">
        <v>12</v>
      </c>
      <c r="F17" s="28">
        <f>3457880/1000</f>
        <v>3457.88</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21809.614000000001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273600/1000</f>
        <v>273.60000000000002</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273.60000000000002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5334326/1000+362.04</f>
        <v>5696.366</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4320/1000</f>
        <v>4.32</v>
      </c>
      <c r="G39" s="24" t="str">
        <f>IF(AND(F39&gt;0,D39=""),"Explanation for Other Loss Must be Filled In","")</f>
        <v/>
      </c>
    </row>
    <row r="40" spans="1:7" ht="15.75" x14ac:dyDescent="0.25">
      <c r="A40" s="16">
        <v>31</v>
      </c>
      <c r="B40" s="47" t="s">
        <v>65</v>
      </c>
      <c r="C40" s="48"/>
      <c r="D40" s="48"/>
      <c r="E40" s="48"/>
      <c r="F40" s="4">
        <f>SUM(F34:F39)</f>
        <v>5700.6859999999997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0.20517947444383255</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topLeftCell="A22"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34</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29676113/1000</f>
        <v>29676.113000000001</v>
      </c>
    </row>
    <row r="12" spans="1:6" x14ac:dyDescent="0.2">
      <c r="A12" s="16">
        <v>3</v>
      </c>
      <c r="B12" s="20" t="s">
        <v>8</v>
      </c>
      <c r="F12" s="28"/>
    </row>
    <row r="13" spans="1:6" ht="15.75" x14ac:dyDescent="0.25">
      <c r="A13" s="16">
        <v>4</v>
      </c>
      <c r="B13" s="47" t="s">
        <v>9</v>
      </c>
      <c r="C13" s="48"/>
      <c r="D13" s="48"/>
      <c r="E13" s="48"/>
      <c r="F13" s="4">
        <f>SUM(F11:F12)</f>
        <v>29676.113000000001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19921807/1000</f>
        <v>19921.807000000001</v>
      </c>
    </row>
    <row r="17" spans="1:7" x14ac:dyDescent="0.2">
      <c r="A17" s="16">
        <v>8</v>
      </c>
      <c r="B17" s="20" t="s">
        <v>12</v>
      </c>
      <c r="F17" s="28">
        <f>4050594/1000</f>
        <v>4050.5940000000001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23972.401000000002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130440/1000</f>
        <v>130.44</v>
      </c>
    </row>
    <row r="29" spans="1:7" x14ac:dyDescent="0.2">
      <c r="A29" s="16">
        <v>20</v>
      </c>
      <c r="B29" s="20" t="s">
        <v>40</v>
      </c>
      <c r="F29" s="28">
        <f>8500/1000</f>
        <v>8.5</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138.94</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4212832/1000+1315.68</f>
        <v>5528.5120000000006</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36260/1000</f>
        <v>36.26</v>
      </c>
      <c r="G39" s="24" t="str">
        <f>IF(AND(F39&gt;0,D39=""),"Explanation for Other Loss Must be Filled In","")</f>
        <v/>
      </c>
    </row>
    <row r="40" spans="1:7" ht="15.75" x14ac:dyDescent="0.25">
      <c r="A40" s="16">
        <v>31</v>
      </c>
      <c r="B40" s="47" t="s">
        <v>65</v>
      </c>
      <c r="C40" s="48"/>
      <c r="D40" s="48"/>
      <c r="E40" s="48"/>
      <c r="F40" s="4">
        <f>SUM(F34:F39)</f>
        <v>5564.7720000000008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0.18751687594665786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26"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30636724/1000</f>
        <v>30636.723999999998</v>
      </c>
    </row>
    <row r="12" spans="1:6" x14ac:dyDescent="0.2">
      <c r="A12" s="16">
        <v>3</v>
      </c>
      <c r="B12" s="20" t="s">
        <v>8</v>
      </c>
      <c r="F12" s="28"/>
    </row>
    <row r="13" spans="1:6" ht="15.75" x14ac:dyDescent="0.25">
      <c r="A13" s="16">
        <v>4</v>
      </c>
      <c r="B13" s="47" t="s">
        <v>9</v>
      </c>
      <c r="C13" s="48"/>
      <c r="D13" s="48"/>
      <c r="E13" s="48"/>
      <c r="F13" s="4">
        <f>SUM(F11:F12)</f>
        <v>30636.723999999998</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22029624/1000</f>
        <v>22029.624</v>
      </c>
    </row>
    <row r="17" spans="1:7" x14ac:dyDescent="0.2">
      <c r="A17" s="16">
        <v>8</v>
      </c>
      <c r="B17" s="20" t="s">
        <v>12</v>
      </c>
      <c r="F17" s="28">
        <f>3012134/1000</f>
        <v>3012.134</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25041.758000000002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115809/1000</f>
        <v>115.809</v>
      </c>
    </row>
    <row r="29" spans="1:7" x14ac:dyDescent="0.2">
      <c r="A29" s="16">
        <v>20</v>
      </c>
      <c r="B29" s="20" t="s">
        <v>40</v>
      </c>
      <c r="F29" s="28">
        <f>500/1000</f>
        <v>0.5</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116.309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105</v>
      </c>
    </row>
    <row r="36" spans="1:7" x14ac:dyDescent="0.2">
      <c r="A36" s="16">
        <v>27</v>
      </c>
      <c r="B36" s="20" t="s">
        <v>26</v>
      </c>
      <c r="F36" s="28">
        <f>4352457/1000+975.12</f>
        <v>5327.5770000000002</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46080/1000</f>
        <v>46.08</v>
      </c>
      <c r="G39" s="24" t="str">
        <f>IF(AND(F39&gt;0,D39=""),"Explanation for Other Loss Must be Filled In","")</f>
        <v/>
      </c>
    </row>
    <row r="40" spans="1:7" ht="15.75" x14ac:dyDescent="0.25">
      <c r="A40" s="16">
        <v>31</v>
      </c>
      <c r="B40" s="47" t="s">
        <v>65</v>
      </c>
      <c r="C40" s="48"/>
      <c r="D40" s="48"/>
      <c r="E40" s="48"/>
      <c r="F40" s="4">
        <f>SUM(F34:F39)</f>
        <v>5478.6570000000002</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0.17882646329940499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topLeftCell="A23" zoomScaleNormal="100" workbookViewId="0">
      <selection activeCell="F35" sqref="F35"/>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36</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29105269/1000</f>
        <v>29105.269</v>
      </c>
    </row>
    <row r="12" spans="1:6" x14ac:dyDescent="0.2">
      <c r="A12" s="16">
        <v>3</v>
      </c>
      <c r="B12" s="20" t="s">
        <v>8</v>
      </c>
      <c r="F12" s="28"/>
    </row>
    <row r="13" spans="1:6" ht="15.75" x14ac:dyDescent="0.25">
      <c r="A13" s="16">
        <v>4</v>
      </c>
      <c r="B13" s="47" t="s">
        <v>9</v>
      </c>
      <c r="C13" s="48"/>
      <c r="D13" s="48"/>
      <c r="E13" s="48"/>
      <c r="F13" s="4">
        <f>SUM(F11:F12)</f>
        <v>29105.269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19505605/1000</f>
        <v>19505.605</v>
      </c>
    </row>
    <row r="17" spans="1:7" x14ac:dyDescent="0.2">
      <c r="A17" s="16">
        <v>8</v>
      </c>
      <c r="B17" s="20" t="s">
        <v>12</v>
      </c>
      <c r="F17" s="28">
        <f>3962145/1000</f>
        <v>3962.145</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23467.75</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368752/1000</f>
        <v>368.75200000000001</v>
      </c>
    </row>
    <row r="29" spans="1:7" x14ac:dyDescent="0.2">
      <c r="A29" s="16">
        <v>20</v>
      </c>
      <c r="B29" s="20" t="s">
        <v>40</v>
      </c>
      <c r="F29" s="28">
        <v>1</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369.75200000000001</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3797695/1000+1294.92</f>
        <v>5092.6149999999998</v>
      </c>
    </row>
    <row r="37" spans="1:7" x14ac:dyDescent="0.2">
      <c r="A37" s="16">
        <v>28</v>
      </c>
      <c r="B37" s="20" t="s">
        <v>27</v>
      </c>
      <c r="F37" s="28">
        <f>93000/1000</f>
        <v>93</v>
      </c>
    </row>
    <row r="38" spans="1:7" x14ac:dyDescent="0.2">
      <c r="A38" s="16">
        <v>29</v>
      </c>
      <c r="B38" s="20" t="s">
        <v>28</v>
      </c>
      <c r="F38" s="28"/>
    </row>
    <row r="39" spans="1:7" x14ac:dyDescent="0.2">
      <c r="A39" s="16">
        <v>30</v>
      </c>
      <c r="B39" s="20" t="s">
        <v>89</v>
      </c>
      <c r="D39" s="22" t="s">
        <v>91</v>
      </c>
      <c r="E39" s="39"/>
      <c r="F39" s="28">
        <f>82152/1000</f>
        <v>82.152000000000001</v>
      </c>
      <c r="G39" s="24" t="str">
        <f>IF(AND(F39&gt;0,D39=""),"Explanation for Other Loss Must be Filled In","")</f>
        <v/>
      </c>
    </row>
    <row r="40" spans="1:7" ht="15.75" x14ac:dyDescent="0.25">
      <c r="A40" s="16">
        <v>31</v>
      </c>
      <c r="B40" s="47" t="s">
        <v>65</v>
      </c>
      <c r="C40" s="48"/>
      <c r="D40" s="48"/>
      <c r="E40" s="48"/>
      <c r="F40" s="4">
        <f>SUM(F34:F39)</f>
        <v>5267.7669999999998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0.18099014992783607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1fd4a67-a72e-4b63-af64-fdd815d90962" xsi:nil="true"/>
    <lcf76f155ced4ddcb4097134ff3c332f xmlns="887b3745-c80b-4d8d-8f4d-91599da3152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859F58A294E74EBF5998F88DF9FFB0" ma:contentTypeVersion="12" ma:contentTypeDescription="Create a new document." ma:contentTypeScope="" ma:versionID="15f6ca045c636a919e858ea3c1d2f983">
  <xsd:schema xmlns:xsd="http://www.w3.org/2001/XMLSchema" xmlns:xs="http://www.w3.org/2001/XMLSchema" xmlns:p="http://schemas.microsoft.com/office/2006/metadata/properties" xmlns:ns2="887b3745-c80b-4d8d-8f4d-91599da31528" xmlns:ns3="91fd4a67-a72e-4b63-af64-fdd815d90962" targetNamespace="http://schemas.microsoft.com/office/2006/metadata/properties" ma:root="true" ma:fieldsID="4c0d733c856d03d2aae461e83eb51d9a" ns2:_="" ns3:_="">
    <xsd:import namespace="887b3745-c80b-4d8d-8f4d-91599da31528"/>
    <xsd:import namespace="91fd4a67-a72e-4b63-af64-fdd815d9096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b3745-c80b-4d8d-8f4d-91599da31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5d1464f-bf2d-4764-91b1-641742962a2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fd4a67-a72e-4b63-af64-fdd815d9096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f55f097-6fc8-47a7-8c05-e1f8b345d137}" ma:internalName="TaxCatchAll" ma:showField="CatchAllData" ma:web="91fd4a67-a72e-4b63-af64-fdd815d909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 ds:uri="91fd4a67-a72e-4b63-af64-fdd815d90962"/>
    <ds:schemaRef ds:uri="887b3745-c80b-4d8d-8f4d-91599da31528"/>
  </ds:schemaRefs>
</ds:datastoreItem>
</file>

<file path=customXml/itemProps2.xml><?xml version="1.0" encoding="utf-8"?>
<ds:datastoreItem xmlns:ds="http://schemas.openxmlformats.org/officeDocument/2006/customXml" ds:itemID="{C76BFC25-2C33-479E-9B50-4DB3C4B93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b3745-c80b-4d8d-8f4d-91599da31528"/>
    <ds:schemaRef ds:uri="91fd4a67-a72e-4b63-af64-fdd815d90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Mark Frost</cp:lastModifiedBy>
  <cp:lastPrinted>2020-03-02T16:50:44Z</cp:lastPrinted>
  <dcterms:created xsi:type="dcterms:W3CDTF">2018-07-10T15:33:25Z</dcterms:created>
  <dcterms:modified xsi:type="dcterms:W3CDTF">2024-05-31T13:31:32Z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0x01010001859F58A294E74EBF5998F88DF9FFB0</vt:lpwstr>
  </property>
</Properties>
</file>