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utler County WD/"/>
    </mc:Choice>
  </mc:AlternateContent>
  <xr:revisionPtr revIDLastSave="0" documentId="14_{BB106994-44CC-4303-8531-55DA7DFCC77E}" xr6:coauthVersionLast="47" xr6:coauthVersionMax="47" xr10:uidLastSave="{00000000-0000-0000-0000-000000000000}"/>
  <bookViews>
    <workbookView xWindow="0" yWindow="60" windowWidth="20520" windowHeight="12645" tabRatio="602" firstSheet="11" activeTab="14" xr2:uid="{66DCB12E-7761-47D1-A8C5-985704888B5C}"/>
  </bookViews>
  <sheets>
    <sheet name="SAO - DSC" sheetId="3" r:id="rId1"/>
    <sheet name="Sheet1" sheetId="73" r:id="rId2"/>
    <sheet name="SAO - Op Ratio" sheetId="34" r:id="rId3"/>
    <sheet name="Comp" sheetId="26" r:id="rId4"/>
    <sheet name="Adj" sheetId="16" r:id="rId5"/>
    <sheet name="Emp Sal &amp; Wages" sheetId="58" r:id="rId6"/>
    <sheet name="Pension &amp; Benefits" sheetId="62" r:id="rId7"/>
    <sheet name="Emp Health &amp; Dentail Prem" sheetId="61" r:id="rId8"/>
    <sheet name="FICA" sheetId="53" r:id="rId9"/>
    <sheet name="WatPurch" sheetId="23" r:id="rId10"/>
    <sheet name="Dep Adj " sheetId="59" r:id="rId11"/>
    <sheet name="Dep Sch" sheetId="60" r:id="rId12"/>
    <sheet name="Sheet9" sheetId="94" r:id="rId13"/>
    <sheet name="Debt Sch" sheetId="5" r:id="rId14"/>
    <sheet name="Amort Sch's" sheetId="52" r:id="rId15"/>
    <sheet name="BA Existing Rates" sheetId="57" r:id="rId16"/>
    <sheet name="Prop BA - Year 1 Rates" sheetId="92" r:id="rId17"/>
    <sheet name="Prop BA - Year 2 Rates" sheetId="93" r:id="rId18"/>
    <sheet name="Prob BA - Yr 2" sheetId="77" r:id="rId19"/>
    <sheet name="Prop BA - Yr 1" sheetId="76" r:id="rId20"/>
    <sheet name="CurRates" sheetId="25" r:id="rId21"/>
    <sheet name="PropBA - DSC" sheetId="15" r:id="rId22"/>
    <sheet name="Customer Notice" sheetId="85" r:id="rId23"/>
    <sheet name="Rates Comp" sheetId="2" r:id="rId24"/>
    <sheet name="Yr 1 Rate Comp" sheetId="74" r:id="rId25"/>
    <sheet name="YR 2 Rate Comp" sheetId="75" r:id="rId26"/>
    <sheet name="Attachment Ment 3a Year 1" sheetId="90" r:id="rId27"/>
    <sheet name="Attachment 3b Year 2" sheetId="91" r:id="rId28"/>
    <sheet name="Customer Notice Year 1" sheetId="79" r:id="rId29"/>
    <sheet name="Customer Notice Year 2" sheetId="84" r:id="rId30"/>
    <sheet name="Coverage Calulations" sheetId="78" r:id="rId31"/>
    <sheet name="Table A" sheetId="64" r:id="rId32"/>
    <sheet name="Tble B" sheetId="45" r:id="rId33"/>
    <sheet name="Table C" sheetId="80" r:id="rId34"/>
    <sheet name="Table D Year 1" sheetId="82" r:id="rId35"/>
    <sheet name="Table D Year 2" sheetId="86" r:id="rId36"/>
    <sheet name="Sheet3" sheetId="89" r:id="rId37"/>
    <sheet name="Sheet4" sheetId="87" r:id="rId38"/>
    <sheet name="App A - Rate Comp Phase-In" sheetId="72" r:id="rId39"/>
    <sheet name="App A - Rate Comp 1 Year" sheetId="88" r:id="rId40"/>
    <sheet name="5-8-Inch" sheetId="65" r:id="rId41"/>
    <sheet name="1-Inch" sheetId="66" r:id="rId42"/>
    <sheet name="1.5-Inch" sheetId="67" r:id="rId43"/>
    <sheet name="2-Inch" sheetId="68" r:id="rId44"/>
    <sheet name="4-Inch" sheetId="69" r:id="rId45"/>
    <sheet name="6-Inch" sheetId="70" r:id="rId46"/>
    <sheet name="Sheet2" sheetId="83" r:id="rId47"/>
  </sheets>
  <definedNames>
    <definedName name="_xlnm.Print_Area" localSheetId="20">CurRates!$B$2:$G$13</definedName>
    <definedName name="_xlnm.Print_Area" localSheetId="13">'Debt Sch'!$B$2:$H$23</definedName>
    <definedName name="_xlnm.Print_Area" localSheetId="21">'PropBA - DSC'!#REF!</definedName>
    <definedName name="_xlnm.Print_Area" localSheetId="23">'Rates Comp'!#REF!</definedName>
    <definedName name="_xlnm.Print_Area" localSheetId="0">'SAO - DSC'!$B$2:$M$55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52" l="1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15" i="52"/>
  <c r="L85" i="94"/>
  <c r="J90" i="94" s="1"/>
  <c r="H85" i="94"/>
  <c r="N84" i="94"/>
  <c r="N83" i="94"/>
  <c r="N82" i="94"/>
  <c r="N81" i="94"/>
  <c r="N80" i="94"/>
  <c r="N79" i="94"/>
  <c r="N78" i="94"/>
  <c r="N77" i="94"/>
  <c r="J77" i="94"/>
  <c r="F77" i="94"/>
  <c r="J76" i="94"/>
  <c r="N76" i="94" s="1"/>
  <c r="F76" i="94"/>
  <c r="N75" i="94"/>
  <c r="N74" i="94"/>
  <c r="N73" i="94"/>
  <c r="N72" i="94"/>
  <c r="F72" i="94"/>
  <c r="J71" i="94"/>
  <c r="N71" i="94" s="1"/>
  <c r="F71" i="94"/>
  <c r="N70" i="94"/>
  <c r="N69" i="94"/>
  <c r="N68" i="94"/>
  <c r="N67" i="94"/>
  <c r="J66" i="94"/>
  <c r="N66" i="94" s="1"/>
  <c r="F66" i="94"/>
  <c r="N65" i="94"/>
  <c r="F65" i="94"/>
  <c r="N64" i="94"/>
  <c r="N63" i="94"/>
  <c r="N62" i="94"/>
  <c r="N61" i="94"/>
  <c r="N60" i="94"/>
  <c r="F59" i="94"/>
  <c r="N31" i="94"/>
  <c r="N30" i="94"/>
  <c r="N29" i="94"/>
  <c r="N28" i="94"/>
  <c r="N27" i="94"/>
  <c r="N26" i="94"/>
  <c r="N25" i="94"/>
  <c r="J24" i="94"/>
  <c r="N24" i="94" s="1"/>
  <c r="H24" i="94"/>
  <c r="F24" i="94"/>
  <c r="J23" i="94"/>
  <c r="N23" i="94" s="1"/>
  <c r="H23" i="94"/>
  <c r="F23" i="94"/>
  <c r="N22" i="94"/>
  <c r="N21" i="94"/>
  <c r="N20" i="94"/>
  <c r="L19" i="94"/>
  <c r="N19" i="94" s="1"/>
  <c r="N18" i="94"/>
  <c r="N17" i="94"/>
  <c r="J16" i="94"/>
  <c r="N16" i="94" s="1"/>
  <c r="H16" i="94"/>
  <c r="F16" i="94"/>
  <c r="N15" i="94"/>
  <c r="L14" i="94"/>
  <c r="J14" i="94"/>
  <c r="H14" i="94"/>
  <c r="F14" i="94"/>
  <c r="L13" i="94"/>
  <c r="N13" i="94" s="1"/>
  <c r="H13" i="94"/>
  <c r="F13" i="94"/>
  <c r="N12" i="94"/>
  <c r="N11" i="94"/>
  <c r="N10" i="94"/>
  <c r="N9" i="94"/>
  <c r="J8" i="94"/>
  <c r="N8" i="94" s="1"/>
  <c r="H8" i="94"/>
  <c r="F7" i="94"/>
  <c r="G133" i="57"/>
  <c r="G128" i="57"/>
  <c r="G123" i="57"/>
  <c r="E124" i="93"/>
  <c r="C118" i="93"/>
  <c r="E116" i="93"/>
  <c r="E119" i="93" s="1"/>
  <c r="E113" i="93"/>
  <c r="D113" i="93"/>
  <c r="F112" i="93"/>
  <c r="C112" i="93"/>
  <c r="H109" i="93" s="1"/>
  <c r="F110" i="93"/>
  <c r="I110" i="93" s="1"/>
  <c r="G109" i="93"/>
  <c r="G112" i="93" s="1"/>
  <c r="F109" i="93"/>
  <c r="F111" i="93" s="1"/>
  <c r="C105" i="93"/>
  <c r="C104" i="93"/>
  <c r="C103" i="93"/>
  <c r="C102" i="93"/>
  <c r="E99" i="93"/>
  <c r="D99" i="93"/>
  <c r="E102" i="93" s="1"/>
  <c r="H98" i="93"/>
  <c r="G98" i="93"/>
  <c r="F97" i="93"/>
  <c r="F95" i="93"/>
  <c r="I94" i="93"/>
  <c r="H94" i="93"/>
  <c r="G94" i="93"/>
  <c r="G97" i="93" s="1"/>
  <c r="F94" i="93"/>
  <c r="F98" i="93" s="1"/>
  <c r="I98" i="93" s="1"/>
  <c r="I99" i="93" s="1"/>
  <c r="F105" i="93" s="1"/>
  <c r="F85" i="93"/>
  <c r="E85" i="93"/>
  <c r="E87" i="93" s="1"/>
  <c r="G84" i="93"/>
  <c r="C84" i="93"/>
  <c r="J80" i="93" s="1"/>
  <c r="G83" i="93"/>
  <c r="G82" i="93"/>
  <c r="G85" i="93" s="1"/>
  <c r="F87" i="93" s="1"/>
  <c r="K81" i="93"/>
  <c r="G81" i="93"/>
  <c r="I80" i="93"/>
  <c r="I84" i="93" s="1"/>
  <c r="H80" i="93"/>
  <c r="H84" i="93" s="1"/>
  <c r="G80" i="93"/>
  <c r="C74" i="93"/>
  <c r="C73" i="93"/>
  <c r="C72" i="93"/>
  <c r="E71" i="93"/>
  <c r="E75" i="93" s="1"/>
  <c r="C71" i="93"/>
  <c r="F69" i="93"/>
  <c r="E69" i="93"/>
  <c r="I68" i="93"/>
  <c r="H68" i="93"/>
  <c r="C68" i="93"/>
  <c r="G67" i="93"/>
  <c r="G65" i="93"/>
  <c r="J64" i="93"/>
  <c r="I64" i="93"/>
  <c r="H64" i="93"/>
  <c r="H67" i="93" s="1"/>
  <c r="I67" i="93" s="1"/>
  <c r="I69" i="93" s="1"/>
  <c r="F73" i="93" s="1"/>
  <c r="G64" i="93"/>
  <c r="G68" i="93" s="1"/>
  <c r="C60" i="93"/>
  <c r="C59" i="93"/>
  <c r="C58" i="93"/>
  <c r="C57" i="93"/>
  <c r="C56" i="93"/>
  <c r="E54" i="93"/>
  <c r="D54" i="93"/>
  <c r="E56" i="93" s="1"/>
  <c r="C53" i="93"/>
  <c r="J48" i="93" s="1"/>
  <c r="F52" i="93"/>
  <c r="F51" i="93"/>
  <c r="H51" i="93" s="1"/>
  <c r="F50" i="93"/>
  <c r="G50" i="93" s="1"/>
  <c r="F49" i="93"/>
  <c r="K49" i="93" s="1"/>
  <c r="I48" i="93"/>
  <c r="I53" i="93" s="1"/>
  <c r="H48" i="93"/>
  <c r="H53" i="93" s="1"/>
  <c r="G48" i="93"/>
  <c r="G51" i="93" s="1"/>
  <c r="F48" i="93"/>
  <c r="F53" i="93" s="1"/>
  <c r="C43" i="93"/>
  <c r="C42" i="93"/>
  <c r="C41" i="93"/>
  <c r="E40" i="93"/>
  <c r="E45" i="93" s="1"/>
  <c r="C40" i="93"/>
  <c r="E38" i="93"/>
  <c r="D38" i="93"/>
  <c r="I37" i="93"/>
  <c r="C37" i="93"/>
  <c r="J32" i="93" s="1"/>
  <c r="G35" i="93"/>
  <c r="F34" i="93"/>
  <c r="F33" i="93"/>
  <c r="K33" i="93" s="1"/>
  <c r="I32" i="93"/>
  <c r="H32" i="93"/>
  <c r="H37" i="93" s="1"/>
  <c r="G32" i="93"/>
  <c r="G37" i="93" s="1"/>
  <c r="F32" i="93"/>
  <c r="F35" i="93" s="1"/>
  <c r="I23" i="93"/>
  <c r="O13" i="93"/>
  <c r="N13" i="93"/>
  <c r="I13" i="93" s="1"/>
  <c r="M13" i="93"/>
  <c r="H13" i="93"/>
  <c r="I13" i="92"/>
  <c r="F85" i="94" l="1"/>
  <c r="J32" i="94"/>
  <c r="L32" i="94"/>
  <c r="N35" i="94" s="1"/>
  <c r="F32" i="94"/>
  <c r="N14" i="94"/>
  <c r="J85" i="94"/>
  <c r="J89" i="94" s="1"/>
  <c r="J91" i="94" s="1"/>
  <c r="N85" i="94"/>
  <c r="N45" i="94"/>
  <c r="N47" i="94" s="1"/>
  <c r="H32" i="94"/>
  <c r="J84" i="93"/>
  <c r="J85" i="93" s="1"/>
  <c r="F90" i="93" s="1"/>
  <c r="K84" i="93"/>
  <c r="E61" i="93"/>
  <c r="F99" i="93"/>
  <c r="F102" i="93" s="1"/>
  <c r="F106" i="93" s="1"/>
  <c r="H10" i="93" s="1"/>
  <c r="K68" i="93"/>
  <c r="J68" i="93"/>
  <c r="K51" i="93"/>
  <c r="H97" i="93"/>
  <c r="H99" i="93" s="1"/>
  <c r="F104" i="93" s="1"/>
  <c r="E91" i="93"/>
  <c r="H54" i="93"/>
  <c r="F58" i="93" s="1"/>
  <c r="K67" i="93"/>
  <c r="G111" i="93"/>
  <c r="G113" i="93" s="1"/>
  <c r="F117" i="93" s="1"/>
  <c r="I111" i="93"/>
  <c r="H35" i="93"/>
  <c r="H38" i="93" s="1"/>
  <c r="F42" i="93" s="1"/>
  <c r="E106" i="93"/>
  <c r="K50" i="93"/>
  <c r="G52" i="93"/>
  <c r="K52" i="93" s="1"/>
  <c r="K65" i="93"/>
  <c r="H82" i="93"/>
  <c r="H85" i="93" s="1"/>
  <c r="F88" i="93" s="1"/>
  <c r="F36" i="93"/>
  <c r="H52" i="93"/>
  <c r="F54" i="93"/>
  <c r="F56" i="93" s="1"/>
  <c r="G66" i="93"/>
  <c r="G36" i="93"/>
  <c r="C44" i="93"/>
  <c r="I52" i="93"/>
  <c r="I54" i="93" s="1"/>
  <c r="F59" i="93" s="1"/>
  <c r="H112" i="93"/>
  <c r="H113" i="93" s="1"/>
  <c r="F118" i="93" s="1"/>
  <c r="H36" i="93"/>
  <c r="H83" i="93"/>
  <c r="I83" i="93" s="1"/>
  <c r="I85" i="93" s="1"/>
  <c r="F89" i="93" s="1"/>
  <c r="F96" i="93"/>
  <c r="G96" i="93" s="1"/>
  <c r="G99" i="93" s="1"/>
  <c r="F103" i="93" s="1"/>
  <c r="G53" i="93"/>
  <c r="J53" i="93" s="1"/>
  <c r="F113" i="93"/>
  <c r="F116" i="93" s="1"/>
  <c r="G34" i="93"/>
  <c r="G38" i="93" s="1"/>
  <c r="F41" i="93" s="1"/>
  <c r="F37" i="93"/>
  <c r="N32" i="94" l="1"/>
  <c r="N49" i="94" s="1"/>
  <c r="J54" i="93"/>
  <c r="F60" i="93" s="1"/>
  <c r="K53" i="93"/>
  <c r="K54" i="93" s="1"/>
  <c r="G54" i="93"/>
  <c r="F57" i="93" s="1"/>
  <c r="K82" i="93"/>
  <c r="K85" i="93" s="1"/>
  <c r="K34" i="93"/>
  <c r="K69" i="93"/>
  <c r="K37" i="93"/>
  <c r="J37" i="93"/>
  <c r="J38" i="93" s="1"/>
  <c r="F44" i="93" s="1"/>
  <c r="F119" i="93"/>
  <c r="H11" i="93" s="1"/>
  <c r="K66" i="93"/>
  <c r="H66" i="93"/>
  <c r="H69" i="93" s="1"/>
  <c r="F72" i="93" s="1"/>
  <c r="I112" i="93"/>
  <c r="I113" i="93" s="1"/>
  <c r="K83" i="93"/>
  <c r="G69" i="93"/>
  <c r="F71" i="93" s="1"/>
  <c r="F75" i="93" s="1"/>
  <c r="H8" i="93" s="1"/>
  <c r="F91" i="93"/>
  <c r="H9" i="93" s="1"/>
  <c r="F61" i="93"/>
  <c r="H7" i="93" s="1"/>
  <c r="F38" i="93"/>
  <c r="F40" i="93" s="1"/>
  <c r="F45" i="93" s="1"/>
  <c r="H6" i="93" s="1"/>
  <c r="H12" i="93" s="1"/>
  <c r="H14" i="93" s="1"/>
  <c r="I36" i="93"/>
  <c r="I38" i="93" s="1"/>
  <c r="F43" i="93" s="1"/>
  <c r="K35" i="93"/>
  <c r="J69" i="93"/>
  <c r="F74" i="93"/>
  <c r="K36" i="93" l="1"/>
  <c r="K38" i="93" s="1"/>
  <c r="E124" i="92" l="1"/>
  <c r="C118" i="92"/>
  <c r="E113" i="92"/>
  <c r="D113" i="92"/>
  <c r="E116" i="92" s="1"/>
  <c r="C112" i="92"/>
  <c r="H109" i="92" s="1"/>
  <c r="F110" i="92"/>
  <c r="I110" i="92" s="1"/>
  <c r="G109" i="92"/>
  <c r="G112" i="92" s="1"/>
  <c r="F109" i="92"/>
  <c r="F112" i="92" s="1"/>
  <c r="C105" i="92"/>
  <c r="C104" i="92"/>
  <c r="C103" i="92"/>
  <c r="C102" i="92"/>
  <c r="E99" i="92"/>
  <c r="D99" i="92"/>
  <c r="E102" i="92" s="1"/>
  <c r="F95" i="92"/>
  <c r="I94" i="92"/>
  <c r="H94" i="92"/>
  <c r="H98" i="92" s="1"/>
  <c r="G94" i="92"/>
  <c r="G98" i="92" s="1"/>
  <c r="F94" i="92"/>
  <c r="F98" i="92" s="1"/>
  <c r="F85" i="92"/>
  <c r="E85" i="92"/>
  <c r="E87" i="92" s="1"/>
  <c r="E91" i="92" s="1"/>
  <c r="G84" i="92"/>
  <c r="C84" i="92"/>
  <c r="J80" i="92" s="1"/>
  <c r="G81" i="92"/>
  <c r="K81" i="92" s="1"/>
  <c r="I80" i="92"/>
  <c r="I84" i="92" s="1"/>
  <c r="H80" i="92"/>
  <c r="H83" i="92" s="1"/>
  <c r="G80" i="92"/>
  <c r="G83" i="92" s="1"/>
  <c r="C73" i="92"/>
  <c r="C72" i="92"/>
  <c r="C71" i="92"/>
  <c r="F69" i="92"/>
  <c r="E69" i="92"/>
  <c r="E71" i="92" s="1"/>
  <c r="C68" i="92"/>
  <c r="C74" i="92" s="1"/>
  <c r="G65" i="92"/>
  <c r="K65" i="92" s="1"/>
  <c r="J64" i="92"/>
  <c r="I64" i="92"/>
  <c r="I68" i="92" s="1"/>
  <c r="H64" i="92"/>
  <c r="H68" i="92" s="1"/>
  <c r="G64" i="92"/>
  <c r="G66" i="92" s="1"/>
  <c r="C59" i="92"/>
  <c r="C58" i="92"/>
  <c r="C57" i="92"/>
  <c r="C56" i="92"/>
  <c r="E54" i="92"/>
  <c r="D54" i="92"/>
  <c r="E56" i="92" s="1"/>
  <c r="C53" i="92"/>
  <c r="C60" i="92" s="1"/>
  <c r="F49" i="92"/>
  <c r="K49" i="92" s="1"/>
  <c r="I48" i="92"/>
  <c r="I53" i="92" s="1"/>
  <c r="H48" i="92"/>
  <c r="H53" i="92" s="1"/>
  <c r="G48" i="92"/>
  <c r="G51" i="92" s="1"/>
  <c r="F48" i="92"/>
  <c r="F51" i="92" s="1"/>
  <c r="C43" i="92"/>
  <c r="C42" i="92"/>
  <c r="C41" i="92"/>
  <c r="C40" i="92"/>
  <c r="E38" i="92"/>
  <c r="D38" i="92"/>
  <c r="E40" i="92" s="1"/>
  <c r="C37" i="92"/>
  <c r="C44" i="92" s="1"/>
  <c r="F36" i="92"/>
  <c r="F35" i="92"/>
  <c r="F34" i="92"/>
  <c r="F33" i="92"/>
  <c r="K33" i="92" s="1"/>
  <c r="I32" i="92"/>
  <c r="I37" i="92" s="1"/>
  <c r="H32" i="92"/>
  <c r="H37" i="92" s="1"/>
  <c r="G32" i="92"/>
  <c r="G36" i="92" s="1"/>
  <c r="F32" i="92"/>
  <c r="F37" i="92" s="1"/>
  <c r="I23" i="92"/>
  <c r="I15" i="92"/>
  <c r="O13" i="92"/>
  <c r="N13" i="92"/>
  <c r="M13" i="92"/>
  <c r="H13" i="92" s="1"/>
  <c r="D53" i="91"/>
  <c r="D48" i="91"/>
  <c r="D43" i="91"/>
  <c r="D37" i="91"/>
  <c r="D31" i="91"/>
  <c r="D25" i="91"/>
  <c r="D19" i="91"/>
  <c r="D12" i="91"/>
  <c r="F63" i="90"/>
  <c r="F62" i="90"/>
  <c r="F61" i="90"/>
  <c r="F60" i="90"/>
  <c r="F59" i="90"/>
  <c r="F58" i="90"/>
  <c r="F57" i="90"/>
  <c r="F56" i="90"/>
  <c r="F53" i="90"/>
  <c r="F52" i="90"/>
  <c r="F51" i="90"/>
  <c r="F48" i="90"/>
  <c r="F47" i="90"/>
  <c r="F46" i="90"/>
  <c r="F43" i="90"/>
  <c r="F42" i="90"/>
  <c r="F41" i="90"/>
  <c r="F40" i="90"/>
  <c r="F37" i="90"/>
  <c r="F36" i="90"/>
  <c r="F35" i="90"/>
  <c r="F34" i="90"/>
  <c r="F31" i="90"/>
  <c r="F30" i="90"/>
  <c r="F29" i="90"/>
  <c r="F28" i="90"/>
  <c r="F25" i="90"/>
  <c r="F24" i="90"/>
  <c r="F23" i="90"/>
  <c r="F22" i="90"/>
  <c r="F19" i="90"/>
  <c r="F18" i="90"/>
  <c r="F17" i="90"/>
  <c r="F16" i="90"/>
  <c r="F15" i="90"/>
  <c r="F10" i="90"/>
  <c r="F11" i="90"/>
  <c r="F12" i="90"/>
  <c r="F9" i="90"/>
  <c r="F8" i="90"/>
  <c r="D53" i="90"/>
  <c r="D48" i="90"/>
  <c r="D43" i="90"/>
  <c r="D37" i="90"/>
  <c r="D31" i="90"/>
  <c r="D25" i="90"/>
  <c r="D19" i="90"/>
  <c r="D12" i="90"/>
  <c r="F73" i="89"/>
  <c r="F72" i="89"/>
  <c r="F71" i="89"/>
  <c r="F70" i="89"/>
  <c r="F69" i="89"/>
  <c r="F68" i="89"/>
  <c r="F67" i="89"/>
  <c r="F66" i="89"/>
  <c r="F61" i="89"/>
  <c r="F60" i="89"/>
  <c r="F59" i="89"/>
  <c r="F58" i="89"/>
  <c r="F57" i="89"/>
  <c r="F53" i="89"/>
  <c r="F52" i="89"/>
  <c r="F51" i="89"/>
  <c r="F50" i="89"/>
  <c r="F49" i="89"/>
  <c r="F45" i="89"/>
  <c r="F44" i="89"/>
  <c r="F43" i="89"/>
  <c r="F42" i="89"/>
  <c r="F41" i="89"/>
  <c r="F40" i="89"/>
  <c r="F36" i="89"/>
  <c r="F35" i="89"/>
  <c r="F34" i="89"/>
  <c r="F33" i="89"/>
  <c r="F32" i="89"/>
  <c r="F31" i="89"/>
  <c r="F27" i="89"/>
  <c r="F26" i="89"/>
  <c r="F25" i="89"/>
  <c r="F24" i="89"/>
  <c r="F23" i="89"/>
  <c r="F22" i="89"/>
  <c r="F21" i="89"/>
  <c r="F12" i="89"/>
  <c r="F13" i="89"/>
  <c r="F14" i="89"/>
  <c r="F15" i="89"/>
  <c r="F16" i="89"/>
  <c r="F17" i="89"/>
  <c r="F11" i="89"/>
  <c r="C6" i="89"/>
  <c r="F64" i="88"/>
  <c r="F63" i="88"/>
  <c r="F62" i="88"/>
  <c r="F61" i="88"/>
  <c r="F60" i="88"/>
  <c r="F59" i="88"/>
  <c r="F58" i="88"/>
  <c r="F57" i="88"/>
  <c r="F54" i="88"/>
  <c r="D54" i="88"/>
  <c r="F53" i="88"/>
  <c r="F52" i="88"/>
  <c r="F49" i="88"/>
  <c r="D49" i="88"/>
  <c r="F48" i="88"/>
  <c r="F47" i="88"/>
  <c r="F44" i="88"/>
  <c r="D44" i="88"/>
  <c r="F43" i="88"/>
  <c r="F42" i="88"/>
  <c r="F41" i="88"/>
  <c r="F38" i="88"/>
  <c r="D38" i="88"/>
  <c r="F37" i="88"/>
  <c r="F36" i="88"/>
  <c r="F35" i="88"/>
  <c r="F32" i="88"/>
  <c r="D32" i="88"/>
  <c r="F31" i="88"/>
  <c r="F30" i="88"/>
  <c r="F29" i="88"/>
  <c r="F26" i="88"/>
  <c r="D26" i="88"/>
  <c r="F25" i="88"/>
  <c r="F24" i="88"/>
  <c r="F23" i="88"/>
  <c r="F20" i="88"/>
  <c r="D20" i="88"/>
  <c r="F19" i="88"/>
  <c r="F18" i="88"/>
  <c r="F17" i="88"/>
  <c r="F16" i="88"/>
  <c r="F13" i="88"/>
  <c r="D13" i="88"/>
  <c r="F12" i="88"/>
  <c r="F11" i="88"/>
  <c r="F10" i="88"/>
  <c r="F9" i="88"/>
  <c r="C4" i="88"/>
  <c r="F59" i="72"/>
  <c r="F60" i="72"/>
  <c r="F61" i="72"/>
  <c r="F62" i="72"/>
  <c r="F63" i="72"/>
  <c r="F64" i="72"/>
  <c r="F65" i="72"/>
  <c r="F58" i="72"/>
  <c r="F55" i="72"/>
  <c r="F54" i="72"/>
  <c r="F53" i="72"/>
  <c r="F50" i="72"/>
  <c r="F49" i="72"/>
  <c r="F48" i="72"/>
  <c r="F45" i="72"/>
  <c r="F44" i="72"/>
  <c r="F43" i="72"/>
  <c r="F42" i="72"/>
  <c r="F39" i="72"/>
  <c r="F38" i="72"/>
  <c r="F37" i="72"/>
  <c r="F36" i="72"/>
  <c r="F33" i="72"/>
  <c r="F32" i="72"/>
  <c r="F31" i="72"/>
  <c r="F30" i="72"/>
  <c r="F27" i="72"/>
  <c r="F26" i="72"/>
  <c r="F25" i="72"/>
  <c r="F24" i="72"/>
  <c r="F21" i="72"/>
  <c r="F20" i="72"/>
  <c r="F19" i="72"/>
  <c r="F18" i="72"/>
  <c r="F17" i="72"/>
  <c r="F11" i="72"/>
  <c r="F12" i="72"/>
  <c r="F13" i="72"/>
  <c r="F14" i="72"/>
  <c r="F10" i="72"/>
  <c r="C6" i="86"/>
  <c r="E80" i="87"/>
  <c r="U80" i="87" s="1"/>
  <c r="E79" i="87"/>
  <c r="U79" i="87" s="1"/>
  <c r="E78" i="87"/>
  <c r="U78" i="87" s="1"/>
  <c r="E77" i="87"/>
  <c r="U77" i="87" s="1"/>
  <c r="E76" i="87"/>
  <c r="U76" i="87" s="1"/>
  <c r="E75" i="87"/>
  <c r="U75" i="87" s="1"/>
  <c r="E74" i="87"/>
  <c r="U74" i="87" s="1"/>
  <c r="E73" i="87"/>
  <c r="U73" i="87" s="1"/>
  <c r="E68" i="87"/>
  <c r="U68" i="87" s="1"/>
  <c r="E67" i="87"/>
  <c r="U67" i="87" s="1"/>
  <c r="E66" i="87"/>
  <c r="U66" i="87" s="1"/>
  <c r="E65" i="87"/>
  <c r="U65" i="87" s="1"/>
  <c r="E64" i="87"/>
  <c r="U64" i="87" s="1"/>
  <c r="E60" i="87"/>
  <c r="U60" i="87" s="1"/>
  <c r="E59" i="87"/>
  <c r="U59" i="87" s="1"/>
  <c r="E58" i="87"/>
  <c r="U58" i="87" s="1"/>
  <c r="E57" i="87"/>
  <c r="U57" i="87" s="1"/>
  <c r="E56" i="87"/>
  <c r="U56" i="87" s="1"/>
  <c r="E52" i="87"/>
  <c r="U52" i="87" s="1"/>
  <c r="E51" i="87"/>
  <c r="U51" i="87" s="1"/>
  <c r="E50" i="87"/>
  <c r="U50" i="87" s="1"/>
  <c r="E49" i="87"/>
  <c r="U49" i="87" s="1"/>
  <c r="E48" i="87"/>
  <c r="U48" i="87" s="1"/>
  <c r="E47" i="87"/>
  <c r="U47" i="87" s="1"/>
  <c r="E43" i="87"/>
  <c r="U43" i="87" s="1"/>
  <c r="E42" i="87"/>
  <c r="U42" i="87" s="1"/>
  <c r="E41" i="87"/>
  <c r="U41" i="87" s="1"/>
  <c r="E40" i="87"/>
  <c r="U40" i="87" s="1"/>
  <c r="E39" i="87"/>
  <c r="U39" i="87" s="1"/>
  <c r="E38" i="87"/>
  <c r="U38" i="87" s="1"/>
  <c r="E34" i="87"/>
  <c r="U34" i="87" s="1"/>
  <c r="E33" i="87"/>
  <c r="U33" i="87" s="1"/>
  <c r="E32" i="87"/>
  <c r="U32" i="87" s="1"/>
  <c r="E31" i="87"/>
  <c r="U31" i="87" s="1"/>
  <c r="E30" i="87"/>
  <c r="U30" i="87" s="1"/>
  <c r="E29" i="87"/>
  <c r="U29" i="87" s="1"/>
  <c r="E28" i="87"/>
  <c r="U28" i="87" s="1"/>
  <c r="E27" i="87"/>
  <c r="U27" i="87" s="1"/>
  <c r="E26" i="87"/>
  <c r="U26" i="87" s="1"/>
  <c r="E25" i="87"/>
  <c r="U25" i="87" s="1"/>
  <c r="E21" i="87"/>
  <c r="U21" i="87" s="1"/>
  <c r="E20" i="87"/>
  <c r="U20" i="87" s="1"/>
  <c r="E19" i="87"/>
  <c r="U19" i="87" s="1"/>
  <c r="E18" i="87"/>
  <c r="U18" i="87" s="1"/>
  <c r="E17" i="87"/>
  <c r="U17" i="87" s="1"/>
  <c r="E16" i="87"/>
  <c r="U16" i="87" s="1"/>
  <c r="E15" i="87"/>
  <c r="U15" i="87" s="1"/>
  <c r="E14" i="87"/>
  <c r="U14" i="87" s="1"/>
  <c r="E13" i="87"/>
  <c r="U13" i="87" s="1"/>
  <c r="E12" i="87"/>
  <c r="U12" i="87" s="1"/>
  <c r="C7" i="87"/>
  <c r="F67" i="82"/>
  <c r="F68" i="82"/>
  <c r="F69" i="82"/>
  <c r="F70" i="82"/>
  <c r="F71" i="82"/>
  <c r="F72" i="82"/>
  <c r="F73" i="82"/>
  <c r="F66" i="82"/>
  <c r="D43" i="85"/>
  <c r="D39" i="85"/>
  <c r="D35" i="85"/>
  <c r="D30" i="85"/>
  <c r="D25" i="85"/>
  <c r="D20" i="85"/>
  <c r="D15" i="85"/>
  <c r="D9" i="85"/>
  <c r="D43" i="84"/>
  <c r="D39" i="84"/>
  <c r="D35" i="84"/>
  <c r="D30" i="84"/>
  <c r="D25" i="84"/>
  <c r="D20" i="84"/>
  <c r="D15" i="84"/>
  <c r="D9" i="84"/>
  <c r="H66" i="85"/>
  <c r="H67" i="85"/>
  <c r="H68" i="85"/>
  <c r="H69" i="85"/>
  <c r="H70" i="85"/>
  <c r="H71" i="85"/>
  <c r="H72" i="85"/>
  <c r="H65" i="85"/>
  <c r="H61" i="84"/>
  <c r="H66" i="79"/>
  <c r="H72" i="79"/>
  <c r="H65" i="79"/>
  <c r="F46" i="79"/>
  <c r="F47" i="79"/>
  <c r="H67" i="79" s="1"/>
  <c r="F48" i="79"/>
  <c r="H68" i="79" s="1"/>
  <c r="F49" i="79"/>
  <c r="H69" i="79" s="1"/>
  <c r="F50" i="79"/>
  <c r="H70" i="79" s="1"/>
  <c r="F51" i="79"/>
  <c r="H71" i="79" s="1"/>
  <c r="F52" i="79"/>
  <c r="F45" i="79"/>
  <c r="S60" i="74"/>
  <c r="S61" i="74"/>
  <c r="S62" i="74"/>
  <c r="S63" i="74"/>
  <c r="S64" i="74"/>
  <c r="S65" i="74"/>
  <c r="S66" i="74"/>
  <c r="F66" i="74"/>
  <c r="F65" i="74"/>
  <c r="F64" i="74"/>
  <c r="F63" i="74"/>
  <c r="F62" i="74"/>
  <c r="F61" i="74"/>
  <c r="F60" i="74"/>
  <c r="F59" i="74"/>
  <c r="F56" i="74"/>
  <c r="F55" i="74"/>
  <c r="F54" i="74"/>
  <c r="F51" i="74"/>
  <c r="F50" i="74"/>
  <c r="F49" i="74"/>
  <c r="F46" i="74"/>
  <c r="F45" i="74"/>
  <c r="F44" i="74"/>
  <c r="F43" i="74"/>
  <c r="F40" i="74"/>
  <c r="F39" i="74"/>
  <c r="F38" i="74"/>
  <c r="F37" i="74"/>
  <c r="F34" i="74"/>
  <c r="F33" i="74"/>
  <c r="F32" i="74"/>
  <c r="F31" i="74"/>
  <c r="F22" i="85" s="1"/>
  <c r="U22" i="85" s="1"/>
  <c r="F28" i="74"/>
  <c r="F27" i="74"/>
  <c r="F26" i="74"/>
  <c r="F25" i="74"/>
  <c r="F22" i="74"/>
  <c r="F21" i="74"/>
  <c r="F20" i="74"/>
  <c r="F19" i="74"/>
  <c r="F18" i="74"/>
  <c r="F12" i="74"/>
  <c r="F13" i="74"/>
  <c r="F14" i="74"/>
  <c r="F15" i="74"/>
  <c r="F11" i="74"/>
  <c r="F60" i="2"/>
  <c r="F61" i="2"/>
  <c r="F62" i="2"/>
  <c r="F63" i="2"/>
  <c r="F64" i="2"/>
  <c r="F65" i="2"/>
  <c r="F66" i="2"/>
  <c r="F59" i="2"/>
  <c r="F45" i="85" s="1"/>
  <c r="F54" i="2"/>
  <c r="F49" i="2"/>
  <c r="F43" i="2"/>
  <c r="F37" i="2"/>
  <c r="F31" i="2"/>
  <c r="F25" i="2"/>
  <c r="F18" i="2"/>
  <c r="F12" i="2"/>
  <c r="F13" i="2"/>
  <c r="F14" i="2"/>
  <c r="F15" i="2"/>
  <c r="F11" i="2"/>
  <c r="F50" i="85"/>
  <c r="F51" i="85"/>
  <c r="F52" i="85"/>
  <c r="F46" i="85"/>
  <c r="O66" i="2"/>
  <c r="O65" i="2"/>
  <c r="O64" i="2"/>
  <c r="O60" i="2"/>
  <c r="O59" i="2"/>
  <c r="H63" i="85"/>
  <c r="S50" i="85"/>
  <c r="F41" i="85"/>
  <c r="S33" i="85"/>
  <c r="S32" i="85"/>
  <c r="F32" i="85"/>
  <c r="U32" i="85" s="1"/>
  <c r="F27" i="85"/>
  <c r="S22" i="85"/>
  <c r="S18" i="85"/>
  <c r="S17" i="85"/>
  <c r="S16" i="85"/>
  <c r="F17" i="85"/>
  <c r="U16" i="85" s="1"/>
  <c r="S12" i="85"/>
  <c r="S11" i="85"/>
  <c r="F11" i="85"/>
  <c r="U11" i="85" s="1"/>
  <c r="F9" i="85"/>
  <c r="F8" i="85"/>
  <c r="F7" i="85"/>
  <c r="F6" i="85"/>
  <c r="S5" i="85"/>
  <c r="F5" i="85"/>
  <c r="U5" i="85" s="1"/>
  <c r="H84" i="92" l="1"/>
  <c r="F38" i="92"/>
  <c r="F40" i="92" s="1"/>
  <c r="E61" i="92"/>
  <c r="H36" i="92"/>
  <c r="K36" i="92" s="1"/>
  <c r="J48" i="92"/>
  <c r="I98" i="92"/>
  <c r="I99" i="92" s="1"/>
  <c r="F105" i="92" s="1"/>
  <c r="J32" i="92"/>
  <c r="H51" i="92"/>
  <c r="K51" i="92" s="1"/>
  <c r="E75" i="92"/>
  <c r="E106" i="92"/>
  <c r="I36" i="92"/>
  <c r="I38" i="92" s="1"/>
  <c r="F43" i="92" s="1"/>
  <c r="H66" i="92"/>
  <c r="K66" i="92" s="1"/>
  <c r="E119" i="92"/>
  <c r="H112" i="92"/>
  <c r="H113" i="92" s="1"/>
  <c r="F118" i="92" s="1"/>
  <c r="I112" i="92"/>
  <c r="E45" i="92"/>
  <c r="I83" i="92"/>
  <c r="I85" i="92" s="1"/>
  <c r="F89" i="92" s="1"/>
  <c r="F52" i="92"/>
  <c r="G67" i="92"/>
  <c r="G69" i="92" s="1"/>
  <c r="F71" i="92" s="1"/>
  <c r="G34" i="92"/>
  <c r="K34" i="92" s="1"/>
  <c r="G52" i="92"/>
  <c r="H67" i="92"/>
  <c r="G37" i="92"/>
  <c r="J37" i="92" s="1"/>
  <c r="H52" i="92"/>
  <c r="J84" i="92"/>
  <c r="J85" i="92" s="1"/>
  <c r="F90" i="92" s="1"/>
  <c r="G82" i="92"/>
  <c r="G35" i="92"/>
  <c r="H35" i="92" s="1"/>
  <c r="H38" i="92" s="1"/>
  <c r="F42" i="92" s="1"/>
  <c r="F96" i="92"/>
  <c r="G96" i="92" s="1"/>
  <c r="F111" i="92"/>
  <c r="F113" i="92" s="1"/>
  <c r="F116" i="92" s="1"/>
  <c r="F50" i="92"/>
  <c r="G68" i="92"/>
  <c r="F53" i="92"/>
  <c r="F97" i="92"/>
  <c r="G53" i="92"/>
  <c r="G97" i="92"/>
  <c r="U50" i="85"/>
  <c r="F54" i="92" l="1"/>
  <c r="F56" i="92" s="1"/>
  <c r="F99" i="92"/>
  <c r="F102" i="92" s="1"/>
  <c r="K83" i="92"/>
  <c r="J38" i="92"/>
  <c r="F44" i="92" s="1"/>
  <c r="K37" i="92"/>
  <c r="H97" i="92"/>
  <c r="H99" i="92" s="1"/>
  <c r="F104" i="92" s="1"/>
  <c r="K35" i="92"/>
  <c r="K38" i="92" s="1"/>
  <c r="J68" i="92"/>
  <c r="K68" i="92" s="1"/>
  <c r="G50" i="92"/>
  <c r="G54" i="92" s="1"/>
  <c r="F57" i="92" s="1"/>
  <c r="H54" i="92"/>
  <c r="F58" i="92" s="1"/>
  <c r="H69" i="92"/>
  <c r="F72" i="92" s="1"/>
  <c r="G85" i="92"/>
  <c r="F87" i="92" s="1"/>
  <c r="H82" i="92"/>
  <c r="H85" i="92" s="1"/>
  <c r="F88" i="92" s="1"/>
  <c r="G38" i="92"/>
  <c r="F41" i="92" s="1"/>
  <c r="G111" i="92"/>
  <c r="G113" i="92" s="1"/>
  <c r="F117" i="92" s="1"/>
  <c r="J53" i="92"/>
  <c r="J54" i="92" s="1"/>
  <c r="F60" i="92" s="1"/>
  <c r="I67" i="92"/>
  <c r="I69" i="92" s="1"/>
  <c r="F73" i="92" s="1"/>
  <c r="G99" i="92"/>
  <c r="F103" i="92" s="1"/>
  <c r="I52" i="92"/>
  <c r="I54" i="92" s="1"/>
  <c r="F59" i="92" s="1"/>
  <c r="K84" i="92"/>
  <c r="S50" i="84"/>
  <c r="S33" i="84"/>
  <c r="S32" i="84"/>
  <c r="S22" i="84"/>
  <c r="S18" i="84"/>
  <c r="S17" i="84"/>
  <c r="S16" i="84"/>
  <c r="S12" i="84"/>
  <c r="S11" i="84"/>
  <c r="S5" i="84"/>
  <c r="H63" i="79"/>
  <c r="F41" i="79"/>
  <c r="D43" i="79"/>
  <c r="F27" i="79"/>
  <c r="D30" i="79"/>
  <c r="D39" i="79"/>
  <c r="C4" i="80"/>
  <c r="C48" i="80" s="1"/>
  <c r="S28" i="70"/>
  <c r="R28" i="70"/>
  <c r="N28" i="70"/>
  <c r="T27" i="70"/>
  <c r="U27" i="70" s="1"/>
  <c r="S27" i="70"/>
  <c r="R27" i="70"/>
  <c r="O27" i="70"/>
  <c r="N27" i="70"/>
  <c r="S26" i="70"/>
  <c r="R26" i="70"/>
  <c r="N26" i="70"/>
  <c r="T26" i="70" s="1"/>
  <c r="T25" i="70"/>
  <c r="S25" i="70"/>
  <c r="R25" i="70"/>
  <c r="O25" i="70"/>
  <c r="N25" i="70"/>
  <c r="B25" i="70"/>
  <c r="T24" i="70"/>
  <c r="S24" i="70"/>
  <c r="R24" i="70"/>
  <c r="U24" i="70" s="1"/>
  <c r="O24" i="70"/>
  <c r="N24" i="70"/>
  <c r="T22" i="70"/>
  <c r="N22" i="70"/>
  <c r="D5" i="70"/>
  <c r="L5" i="70" s="1"/>
  <c r="L12" i="70" s="1"/>
  <c r="S10" i="70"/>
  <c r="R10" i="70"/>
  <c r="N10" i="70"/>
  <c r="S9" i="70"/>
  <c r="R9" i="70"/>
  <c r="O9" i="70"/>
  <c r="N9" i="70"/>
  <c r="S8" i="70"/>
  <c r="R8" i="70"/>
  <c r="N8" i="70"/>
  <c r="T8" i="70" s="1"/>
  <c r="S7" i="70"/>
  <c r="R7" i="70"/>
  <c r="O7" i="70"/>
  <c r="N7" i="70"/>
  <c r="T7" i="70" s="1"/>
  <c r="B7" i="70"/>
  <c r="T6" i="70"/>
  <c r="S6" i="70"/>
  <c r="R6" i="70"/>
  <c r="U6" i="70" s="1"/>
  <c r="O6" i="70"/>
  <c r="N6" i="70"/>
  <c r="T4" i="70"/>
  <c r="N4" i="70"/>
  <c r="U26" i="69"/>
  <c r="T26" i="69"/>
  <c r="S26" i="69"/>
  <c r="O26" i="69"/>
  <c r="V26" i="69" s="1"/>
  <c r="V25" i="69"/>
  <c r="U25" i="69"/>
  <c r="T25" i="69"/>
  <c r="S25" i="69"/>
  <c r="P25" i="69"/>
  <c r="O25" i="69"/>
  <c r="V24" i="69"/>
  <c r="T24" i="69"/>
  <c r="S24" i="69"/>
  <c r="N24" i="69"/>
  <c r="B24" i="69"/>
  <c r="V23" i="69"/>
  <c r="T23" i="69"/>
  <c r="S23" i="69"/>
  <c r="N23" i="69"/>
  <c r="V22" i="69"/>
  <c r="T22" i="69"/>
  <c r="S22" i="69"/>
  <c r="N22" i="69"/>
  <c r="U22" i="69" s="1"/>
  <c r="V20" i="69"/>
  <c r="O20" i="69"/>
  <c r="D4" i="69"/>
  <c r="L4" i="69" s="1"/>
  <c r="L11" i="69" s="1"/>
  <c r="V9" i="69"/>
  <c r="U9" i="69"/>
  <c r="T9" i="69"/>
  <c r="S9" i="69"/>
  <c r="P9" i="69"/>
  <c r="O9" i="69"/>
  <c r="U8" i="69"/>
  <c r="T8" i="69"/>
  <c r="S8" i="69"/>
  <c r="O8" i="69"/>
  <c r="V7" i="69"/>
  <c r="T7" i="69"/>
  <c r="S7" i="69"/>
  <c r="N7" i="69"/>
  <c r="U7" i="69" s="1"/>
  <c r="B7" i="69"/>
  <c r="V6" i="69"/>
  <c r="U6" i="69"/>
  <c r="T6" i="69"/>
  <c r="S6" i="69"/>
  <c r="P6" i="69"/>
  <c r="N6" i="69"/>
  <c r="V5" i="69"/>
  <c r="T5" i="69"/>
  <c r="S5" i="69"/>
  <c r="N5" i="69"/>
  <c r="P5" i="69" s="1"/>
  <c r="V3" i="69"/>
  <c r="O3" i="69"/>
  <c r="U31" i="68"/>
  <c r="T31" i="68"/>
  <c r="S31" i="68"/>
  <c r="P31" i="68"/>
  <c r="O31" i="68"/>
  <c r="V31" i="68" s="1"/>
  <c r="V30" i="68"/>
  <c r="U30" i="68"/>
  <c r="T30" i="68"/>
  <c r="S30" i="68"/>
  <c r="W30" i="68" s="1"/>
  <c r="P30" i="68"/>
  <c r="O30" i="68"/>
  <c r="V29" i="68"/>
  <c r="T29" i="68"/>
  <c r="S29" i="68"/>
  <c r="N29" i="68"/>
  <c r="V28" i="68"/>
  <c r="U28" i="68"/>
  <c r="T28" i="68"/>
  <c r="S28" i="68"/>
  <c r="N28" i="68"/>
  <c r="B28" i="68"/>
  <c r="V27" i="68"/>
  <c r="U27" i="68"/>
  <c r="T27" i="68"/>
  <c r="S27" i="68"/>
  <c r="W27" i="68" s="1"/>
  <c r="P27" i="68"/>
  <c r="N27" i="68"/>
  <c r="V26" i="68"/>
  <c r="S26" i="68"/>
  <c r="M26" i="68"/>
  <c r="N26" i="68" s="1"/>
  <c r="V24" i="68"/>
  <c r="O24" i="68"/>
  <c r="D5" i="68"/>
  <c r="L5" i="68" s="1"/>
  <c r="L13" i="68" s="1"/>
  <c r="U11" i="68"/>
  <c r="T11" i="68"/>
  <c r="S11" i="68"/>
  <c r="P11" i="68"/>
  <c r="O11" i="68"/>
  <c r="V11" i="68" s="1"/>
  <c r="V10" i="68"/>
  <c r="U10" i="68"/>
  <c r="T10" i="68"/>
  <c r="S10" i="68"/>
  <c r="P10" i="68"/>
  <c r="O10" i="68"/>
  <c r="V9" i="68"/>
  <c r="T9" i="68"/>
  <c r="S9" i="68"/>
  <c r="N9" i="68"/>
  <c r="V8" i="68"/>
  <c r="T8" i="68"/>
  <c r="S8" i="68"/>
  <c r="N8" i="68"/>
  <c r="U8" i="68" s="1"/>
  <c r="B8" i="68"/>
  <c r="V7" i="68"/>
  <c r="U7" i="68"/>
  <c r="T7" i="68"/>
  <c r="S7" i="68"/>
  <c r="P7" i="68"/>
  <c r="N7" i="68"/>
  <c r="V6" i="68"/>
  <c r="U6" i="68"/>
  <c r="T6" i="68"/>
  <c r="S6" i="68"/>
  <c r="W6" i="68" s="1"/>
  <c r="P6" i="68"/>
  <c r="N6" i="68"/>
  <c r="M6" i="68"/>
  <c r="V4" i="68"/>
  <c r="O4" i="68"/>
  <c r="D4" i="67"/>
  <c r="L4" i="67" s="1"/>
  <c r="L12" i="67" s="1"/>
  <c r="V10" i="67"/>
  <c r="V9" i="67"/>
  <c r="V8" i="67"/>
  <c r="V7" i="67"/>
  <c r="L7" i="67"/>
  <c r="L8" i="67" s="1"/>
  <c r="B7" i="67"/>
  <c r="V6" i="67"/>
  <c r="U6" i="67"/>
  <c r="S6" i="67"/>
  <c r="P6" i="67"/>
  <c r="M6" i="67"/>
  <c r="V5" i="67"/>
  <c r="U5" i="67"/>
  <c r="T5" i="67"/>
  <c r="L5" i="67"/>
  <c r="S5" i="67" s="1"/>
  <c r="V3" i="67"/>
  <c r="O3" i="67"/>
  <c r="V41" i="66"/>
  <c r="U41" i="66"/>
  <c r="T41" i="66"/>
  <c r="N41" i="66"/>
  <c r="O41" i="66" s="1"/>
  <c r="U40" i="66"/>
  <c r="T40" i="66"/>
  <c r="N40" i="66"/>
  <c r="X39" i="66"/>
  <c r="U39" i="66"/>
  <c r="T39" i="66"/>
  <c r="N39" i="66"/>
  <c r="V39" i="66" s="1"/>
  <c r="X38" i="66"/>
  <c r="W38" i="66"/>
  <c r="U38" i="66"/>
  <c r="T38" i="66"/>
  <c r="O38" i="66"/>
  <c r="N38" i="66"/>
  <c r="V38" i="66" s="1"/>
  <c r="X37" i="66"/>
  <c r="W37" i="66"/>
  <c r="V37" i="66"/>
  <c r="U37" i="66"/>
  <c r="T37" i="66"/>
  <c r="Y37" i="66" s="1"/>
  <c r="O37" i="66"/>
  <c r="N37" i="66"/>
  <c r="Q37" i="66" s="1"/>
  <c r="X36" i="66"/>
  <c r="W36" i="66"/>
  <c r="U36" i="66"/>
  <c r="T36" i="66"/>
  <c r="N36" i="66"/>
  <c r="Q36" i="66" s="1"/>
  <c r="X35" i="66"/>
  <c r="W35" i="66"/>
  <c r="U35" i="66"/>
  <c r="T35" i="66"/>
  <c r="N35" i="66"/>
  <c r="V35" i="66" s="1"/>
  <c r="B35" i="66"/>
  <c r="X34" i="66"/>
  <c r="W34" i="66"/>
  <c r="L34" i="66"/>
  <c r="T34" i="66" s="1"/>
  <c r="X33" i="66"/>
  <c r="W33" i="66"/>
  <c r="V33" i="66"/>
  <c r="L33" i="66"/>
  <c r="T33" i="66" s="1"/>
  <c r="X32" i="66"/>
  <c r="W32" i="66"/>
  <c r="V32" i="66"/>
  <c r="U32" i="66"/>
  <c r="T32" i="66"/>
  <c r="X30" i="66"/>
  <c r="P30" i="66"/>
  <c r="D4" i="66"/>
  <c r="L4" i="66" s="1"/>
  <c r="L16" i="66" s="1"/>
  <c r="U14" i="66"/>
  <c r="T14" i="66"/>
  <c r="N14" i="66"/>
  <c r="V14" i="66" s="1"/>
  <c r="U13" i="66"/>
  <c r="T13" i="66"/>
  <c r="N13" i="66"/>
  <c r="V13" i="66" s="1"/>
  <c r="X12" i="66"/>
  <c r="U12" i="66"/>
  <c r="T12" i="66"/>
  <c r="N12" i="66"/>
  <c r="V12" i="66" s="1"/>
  <c r="X11" i="66"/>
  <c r="U11" i="66"/>
  <c r="T11" i="66"/>
  <c r="N11" i="66"/>
  <c r="V11" i="66" s="1"/>
  <c r="X10" i="66"/>
  <c r="U10" i="66"/>
  <c r="T10" i="66"/>
  <c r="N10" i="66"/>
  <c r="O10" i="66" s="1"/>
  <c r="X9" i="66"/>
  <c r="W9" i="66"/>
  <c r="U9" i="66"/>
  <c r="T9" i="66"/>
  <c r="N9" i="66"/>
  <c r="V9" i="66" s="1"/>
  <c r="X8" i="66"/>
  <c r="W8" i="66"/>
  <c r="U8" i="66"/>
  <c r="T8" i="66"/>
  <c r="N8" i="66"/>
  <c r="V8" i="66" s="1"/>
  <c r="B8" i="66"/>
  <c r="X7" i="66"/>
  <c r="W7" i="66"/>
  <c r="L7" i="66"/>
  <c r="T7" i="66" s="1"/>
  <c r="X6" i="66"/>
  <c r="W6" i="66"/>
  <c r="V6" i="66"/>
  <c r="L6" i="66"/>
  <c r="T6" i="66" s="1"/>
  <c r="X5" i="66"/>
  <c r="W5" i="66"/>
  <c r="V5" i="66"/>
  <c r="U5" i="66"/>
  <c r="T5" i="66"/>
  <c r="X3" i="66"/>
  <c r="P3" i="66"/>
  <c r="K82" i="92" l="1"/>
  <c r="K53" i="92"/>
  <c r="K67" i="92"/>
  <c r="K69" i="92" s="1"/>
  <c r="F91" i="92"/>
  <c r="H9" i="92" s="1"/>
  <c r="K52" i="92"/>
  <c r="F45" i="92"/>
  <c r="H6" i="92" s="1"/>
  <c r="F61" i="92"/>
  <c r="H7" i="92" s="1"/>
  <c r="F119" i="92"/>
  <c r="H11" i="92" s="1"/>
  <c r="K85" i="92"/>
  <c r="K50" i="92"/>
  <c r="K54" i="92" s="1"/>
  <c r="F106" i="92"/>
  <c r="H10" i="92" s="1"/>
  <c r="F74" i="92"/>
  <c r="J69" i="92"/>
  <c r="I111" i="92"/>
  <c r="I113" i="92" s="1"/>
  <c r="U26" i="70"/>
  <c r="O26" i="70"/>
  <c r="O28" i="70"/>
  <c r="U25" i="70"/>
  <c r="T28" i="70"/>
  <c r="T9" i="70"/>
  <c r="U9" i="70" s="1"/>
  <c r="U8" i="70"/>
  <c r="L13" i="70"/>
  <c r="O8" i="70"/>
  <c r="O10" i="70"/>
  <c r="T10" i="70"/>
  <c r="U7" i="70"/>
  <c r="W22" i="69"/>
  <c r="W26" i="69"/>
  <c r="W23" i="69"/>
  <c r="P23" i="69"/>
  <c r="P26" i="69"/>
  <c r="U24" i="69"/>
  <c r="W25" i="69"/>
  <c r="P24" i="69"/>
  <c r="P22" i="69"/>
  <c r="U23" i="69"/>
  <c r="L12" i="69"/>
  <c r="W8" i="69"/>
  <c r="W7" i="69"/>
  <c r="W6" i="69"/>
  <c r="P8" i="69"/>
  <c r="W9" i="69"/>
  <c r="U5" i="69"/>
  <c r="V8" i="69"/>
  <c r="P7" i="69"/>
  <c r="W31" i="68"/>
  <c r="U26" i="68"/>
  <c r="P26" i="68"/>
  <c r="W28" i="68"/>
  <c r="T26" i="68"/>
  <c r="P29" i="68"/>
  <c r="U29" i="68"/>
  <c r="P28" i="68"/>
  <c r="W8" i="68"/>
  <c r="L14" i="68"/>
  <c r="W11" i="68"/>
  <c r="W9" i="68"/>
  <c r="W7" i="68"/>
  <c r="P9" i="68"/>
  <c r="W10" i="68"/>
  <c r="U9" i="68"/>
  <c r="P8" i="68"/>
  <c r="S8" i="67"/>
  <c r="L9" i="67"/>
  <c r="L10" i="67" s="1"/>
  <c r="M10" i="67" s="1"/>
  <c r="S7" i="67"/>
  <c r="M7" i="67"/>
  <c r="L13" i="67"/>
  <c r="P12" i="67"/>
  <c r="F31" i="82" s="1"/>
  <c r="S10" i="67"/>
  <c r="M8" i="67"/>
  <c r="S9" i="67"/>
  <c r="N8" i="67"/>
  <c r="M9" i="67"/>
  <c r="P8" i="67"/>
  <c r="N7" i="67"/>
  <c r="T6" i="67"/>
  <c r="Y35" i="66"/>
  <c r="Y38" i="66"/>
  <c r="W41" i="66"/>
  <c r="P41" i="66"/>
  <c r="Q41" i="66" s="1"/>
  <c r="O39" i="66"/>
  <c r="M34" i="66"/>
  <c r="V36" i="66"/>
  <c r="Q39" i="66"/>
  <c r="O40" i="66"/>
  <c r="P40" i="66" s="1"/>
  <c r="M33" i="66"/>
  <c r="Q35" i="66"/>
  <c r="V40" i="66"/>
  <c r="Q33" i="66"/>
  <c r="Q38" i="66"/>
  <c r="P14" i="66"/>
  <c r="O14" i="66"/>
  <c r="V10" i="66"/>
  <c r="O11" i="66"/>
  <c r="Q10" i="66"/>
  <c r="W10" i="66"/>
  <c r="Y8" i="66"/>
  <c r="Q16" i="66"/>
  <c r="F21" i="82" s="1"/>
  <c r="L17" i="66"/>
  <c r="Y9" i="66"/>
  <c r="Q9" i="66"/>
  <c r="O13" i="66"/>
  <c r="O12" i="66"/>
  <c r="M7" i="66"/>
  <c r="M6" i="66"/>
  <c r="N7" i="66"/>
  <c r="Q8" i="66"/>
  <c r="X14" i="66"/>
  <c r="F75" i="92" l="1"/>
  <c r="H8" i="92" s="1"/>
  <c r="H12" i="92"/>
  <c r="H14" i="92" s="1"/>
  <c r="U28" i="70"/>
  <c r="L14" i="70"/>
  <c r="U10" i="70"/>
  <c r="W24" i="69"/>
  <c r="L13" i="69"/>
  <c r="W5" i="69"/>
  <c r="W26" i="68"/>
  <c r="W29" i="68"/>
  <c r="L15" i="68"/>
  <c r="T7" i="67"/>
  <c r="T10" i="67"/>
  <c r="W6" i="67"/>
  <c r="T9" i="67"/>
  <c r="L14" i="67"/>
  <c r="U7" i="67"/>
  <c r="U8" i="67"/>
  <c r="T8" i="67"/>
  <c r="N10" i="67"/>
  <c r="N9" i="67"/>
  <c r="P7" i="67"/>
  <c r="X40" i="66"/>
  <c r="W39" i="66"/>
  <c r="Y36" i="66"/>
  <c r="W40" i="66"/>
  <c r="Q40" i="66"/>
  <c r="U34" i="66"/>
  <c r="N34" i="66"/>
  <c r="Q34" i="66" s="1"/>
  <c r="X41" i="66"/>
  <c r="U33" i="66"/>
  <c r="W14" i="66"/>
  <c r="Q14" i="66"/>
  <c r="P13" i="66"/>
  <c r="W11" i="66"/>
  <c r="Q12" i="66"/>
  <c r="Q11" i="66"/>
  <c r="X13" i="66"/>
  <c r="V7" i="66"/>
  <c r="U7" i="66"/>
  <c r="Q7" i="66"/>
  <c r="W13" i="66"/>
  <c r="U6" i="66"/>
  <c r="Q6" i="66"/>
  <c r="W12" i="66"/>
  <c r="L18" i="66"/>
  <c r="Y10" i="66"/>
  <c r="L15" i="70" l="1"/>
  <c r="L14" i="69"/>
  <c r="L16" i="68"/>
  <c r="U9" i="67"/>
  <c r="L15" i="67"/>
  <c r="W8" i="67"/>
  <c r="P9" i="67"/>
  <c r="U10" i="67"/>
  <c r="P10" i="67"/>
  <c r="W7" i="67"/>
  <c r="Y33" i="66"/>
  <c r="Y39" i="66"/>
  <c r="Y40" i="66"/>
  <c r="V34" i="66"/>
  <c r="Y41" i="66"/>
  <c r="Y11" i="66"/>
  <c r="Q13" i="66"/>
  <c r="Y14" i="66"/>
  <c r="L19" i="66"/>
  <c r="Y7" i="66"/>
  <c r="Y13" i="66"/>
  <c r="Y12" i="66"/>
  <c r="Y6" i="66"/>
  <c r="L16" i="70" l="1"/>
  <c r="L15" i="69"/>
  <c r="L17" i="68"/>
  <c r="L16" i="67"/>
  <c r="W10" i="67"/>
  <c r="W9" i="67"/>
  <c r="Y34" i="66"/>
  <c r="L20" i="66"/>
  <c r="L18" i="68" l="1"/>
  <c r="L17" i="67"/>
  <c r="L21" i="66"/>
  <c r="L22" i="66" l="1"/>
  <c r="L23" i="66" l="1"/>
  <c r="L24" i="66" l="1"/>
  <c r="L25" i="66" l="1"/>
  <c r="C6" i="82" l="1"/>
  <c r="V40" i="65"/>
  <c r="U40" i="65"/>
  <c r="Q40" i="65"/>
  <c r="R40" i="65" s="1"/>
  <c r="P40" i="65"/>
  <c r="X40" i="65" s="1"/>
  <c r="O40" i="65"/>
  <c r="W40" i="65" s="1"/>
  <c r="V39" i="65"/>
  <c r="U39" i="65"/>
  <c r="O39" i="65"/>
  <c r="P39" i="65" s="1"/>
  <c r="Y38" i="65"/>
  <c r="V38" i="65"/>
  <c r="U38" i="65"/>
  <c r="O38" i="65"/>
  <c r="W38" i="65" s="1"/>
  <c r="Y37" i="65"/>
  <c r="X37" i="65"/>
  <c r="W37" i="65"/>
  <c r="V37" i="65"/>
  <c r="U37" i="65"/>
  <c r="P37" i="65"/>
  <c r="O37" i="65"/>
  <c r="R37" i="65" s="1"/>
  <c r="Y36" i="65"/>
  <c r="X36" i="65"/>
  <c r="W36" i="65"/>
  <c r="V36" i="65"/>
  <c r="U36" i="65"/>
  <c r="Z36" i="65" s="1"/>
  <c r="P36" i="65"/>
  <c r="R36" i="65" s="1"/>
  <c r="O36" i="65"/>
  <c r="Y35" i="65"/>
  <c r="X35" i="65"/>
  <c r="V35" i="65"/>
  <c r="U35" i="65"/>
  <c r="O35" i="65"/>
  <c r="W35" i="65" s="1"/>
  <c r="Y34" i="65"/>
  <c r="X34" i="65"/>
  <c r="V34" i="65"/>
  <c r="U34" i="65"/>
  <c r="O34" i="65"/>
  <c r="W34" i="65" s="1"/>
  <c r="B34" i="65"/>
  <c r="Y33" i="65"/>
  <c r="X33" i="65"/>
  <c r="U33" i="65"/>
  <c r="N33" i="65"/>
  <c r="V33" i="65" s="1"/>
  <c r="Y32" i="65"/>
  <c r="X32" i="65"/>
  <c r="Z32" i="65" s="1"/>
  <c r="W32" i="65"/>
  <c r="V32" i="65"/>
  <c r="U32" i="65"/>
  <c r="N32" i="65"/>
  <c r="R32" i="65" s="1"/>
  <c r="Y31" i="65"/>
  <c r="X31" i="65"/>
  <c r="W31" i="65"/>
  <c r="V31" i="65"/>
  <c r="U31" i="65"/>
  <c r="N31" i="65"/>
  <c r="Y29" i="65"/>
  <c r="Q29" i="65"/>
  <c r="D6" i="65"/>
  <c r="O4" i="65" s="1"/>
  <c r="D7" i="65"/>
  <c r="P4" i="65" s="1"/>
  <c r="P18" i="65" s="1"/>
  <c r="D8" i="65"/>
  <c r="Q4" i="65" s="1"/>
  <c r="D5" i="65"/>
  <c r="D4" i="65"/>
  <c r="M4" i="65" s="1"/>
  <c r="M16" i="65" s="1"/>
  <c r="V14" i="65"/>
  <c r="U14" i="65"/>
  <c r="Q14" i="65"/>
  <c r="R14" i="65" s="1"/>
  <c r="P14" i="65"/>
  <c r="X14" i="65" s="1"/>
  <c r="O14" i="65"/>
  <c r="W14" i="65" s="1"/>
  <c r="V13" i="65"/>
  <c r="U13" i="65"/>
  <c r="O13" i="65"/>
  <c r="P13" i="65" s="1"/>
  <c r="Y12" i="65"/>
  <c r="V12" i="65"/>
  <c r="U12" i="65"/>
  <c r="O12" i="65"/>
  <c r="W12" i="65" s="1"/>
  <c r="Y11" i="65"/>
  <c r="X11" i="65"/>
  <c r="W11" i="65"/>
  <c r="V11" i="65"/>
  <c r="U11" i="65"/>
  <c r="P11" i="65"/>
  <c r="O11" i="65"/>
  <c r="R11" i="65" s="1"/>
  <c r="Y10" i="65"/>
  <c r="V10" i="65"/>
  <c r="U10" i="65"/>
  <c r="P10" i="65"/>
  <c r="R10" i="65" s="1"/>
  <c r="O10" i="65"/>
  <c r="Y9" i="65"/>
  <c r="X9" i="65"/>
  <c r="V9" i="65"/>
  <c r="U9" i="65"/>
  <c r="Z9" i="65" s="1"/>
  <c r="O9" i="65"/>
  <c r="W9" i="65" s="1"/>
  <c r="Y8" i="65"/>
  <c r="X8" i="65"/>
  <c r="V8" i="65"/>
  <c r="U8" i="65"/>
  <c r="O8" i="65"/>
  <c r="W8" i="65" s="1"/>
  <c r="B8" i="65"/>
  <c r="Y7" i="65"/>
  <c r="X7" i="65"/>
  <c r="U7" i="65"/>
  <c r="N7" i="65"/>
  <c r="V7" i="65" s="1"/>
  <c r="Y6" i="65"/>
  <c r="X6" i="65"/>
  <c r="W6" i="65"/>
  <c r="V6" i="65"/>
  <c r="U6" i="65"/>
  <c r="N6" i="65"/>
  <c r="R6" i="65" s="1"/>
  <c r="Y5" i="65"/>
  <c r="X5" i="65"/>
  <c r="W5" i="65"/>
  <c r="V5" i="65"/>
  <c r="U5" i="65"/>
  <c r="N5" i="65"/>
  <c r="N4" i="65"/>
  <c r="N23" i="65" s="1"/>
  <c r="Y3" i="65"/>
  <c r="Q3" i="65"/>
  <c r="D58" i="80"/>
  <c r="D53" i="80"/>
  <c r="D44" i="80"/>
  <c r="D38" i="80"/>
  <c r="D32" i="80"/>
  <c r="D26" i="80"/>
  <c r="F20" i="80"/>
  <c r="D20" i="80"/>
  <c r="F19" i="80"/>
  <c r="F18" i="80"/>
  <c r="F17" i="80"/>
  <c r="D5" i="66" s="1"/>
  <c r="M4" i="66" s="1"/>
  <c r="D13" i="80"/>
  <c r="F8" i="79"/>
  <c r="D9" i="79"/>
  <c r="F9" i="79"/>
  <c r="S33" i="79"/>
  <c r="S32" i="79"/>
  <c r="F32" i="79"/>
  <c r="U32" i="79" s="1"/>
  <c r="D35" i="79"/>
  <c r="S22" i="79"/>
  <c r="F22" i="79"/>
  <c r="U22" i="79" s="1"/>
  <c r="D25" i="79"/>
  <c r="S18" i="79"/>
  <c r="S17" i="79"/>
  <c r="S16" i="79"/>
  <c r="F17" i="79"/>
  <c r="U16" i="79" s="1"/>
  <c r="D20" i="79"/>
  <c r="S12" i="79"/>
  <c r="S11" i="79"/>
  <c r="F11" i="79"/>
  <c r="U11" i="79" s="1"/>
  <c r="D15" i="79"/>
  <c r="S5" i="79"/>
  <c r="F7" i="79"/>
  <c r="C5" i="75"/>
  <c r="C5" i="74"/>
  <c r="C5" i="2"/>
  <c r="D4" i="25"/>
  <c r="F6" i="79"/>
  <c r="F5" i="79"/>
  <c r="U5" i="79" s="1"/>
  <c r="S50" i="79"/>
  <c r="Q23" i="65" l="1"/>
  <c r="Q22" i="65"/>
  <c r="O20" i="65"/>
  <c r="O19" i="65"/>
  <c r="N22" i="65"/>
  <c r="N21" i="65"/>
  <c r="P25" i="65"/>
  <c r="Q21" i="65"/>
  <c r="N20" i="65"/>
  <c r="P24" i="65"/>
  <c r="Q20" i="65"/>
  <c r="N19" i="65"/>
  <c r="P23" i="65"/>
  <c r="Q19" i="65"/>
  <c r="N18" i="65"/>
  <c r="P22" i="65"/>
  <c r="Q18" i="65"/>
  <c r="O18" i="65"/>
  <c r="P21" i="65"/>
  <c r="M25" i="66"/>
  <c r="M22" i="66"/>
  <c r="M19" i="66"/>
  <c r="M20" i="66"/>
  <c r="M21" i="66"/>
  <c r="M24" i="66"/>
  <c r="M23" i="66"/>
  <c r="M18" i="66"/>
  <c r="M17" i="66"/>
  <c r="O25" i="65"/>
  <c r="P20" i="65"/>
  <c r="F24" i="80"/>
  <c r="D6" i="66"/>
  <c r="N4" i="66" s="1"/>
  <c r="O24" i="65"/>
  <c r="P19" i="65"/>
  <c r="F25" i="80"/>
  <c r="D6" i="67" s="1"/>
  <c r="N4" i="67" s="1"/>
  <c r="D7" i="66"/>
  <c r="O4" i="66" s="1"/>
  <c r="N17" i="65"/>
  <c r="O23" i="65"/>
  <c r="N25" i="65"/>
  <c r="O22" i="65"/>
  <c r="Q25" i="65"/>
  <c r="F26" i="80"/>
  <c r="D8" i="66"/>
  <c r="P4" i="66" s="1"/>
  <c r="N24" i="65"/>
  <c r="O21" i="65"/>
  <c r="Q24" i="65"/>
  <c r="X39" i="65"/>
  <c r="Z34" i="65"/>
  <c r="Z35" i="65"/>
  <c r="R35" i="65"/>
  <c r="Z37" i="65"/>
  <c r="Q39" i="65"/>
  <c r="R39" i="65"/>
  <c r="P38" i="65"/>
  <c r="O33" i="65"/>
  <c r="R34" i="65"/>
  <c r="W39" i="65"/>
  <c r="Y40" i="65"/>
  <c r="R33" i="65"/>
  <c r="Z8" i="65"/>
  <c r="X13" i="65"/>
  <c r="R16" i="65"/>
  <c r="F11" i="82" s="1"/>
  <c r="M17" i="65"/>
  <c r="Z6" i="65"/>
  <c r="R9" i="65"/>
  <c r="W10" i="65"/>
  <c r="Z11" i="65"/>
  <c r="Q13" i="65"/>
  <c r="X10" i="65"/>
  <c r="R13" i="65"/>
  <c r="P12" i="65"/>
  <c r="R12" i="65"/>
  <c r="O7" i="65"/>
  <c r="R8" i="65"/>
  <c r="W13" i="65"/>
  <c r="Y14" i="65"/>
  <c r="R7" i="65"/>
  <c r="F31" i="80" l="1"/>
  <c r="P18" i="66"/>
  <c r="P19" i="66"/>
  <c r="P21" i="66"/>
  <c r="P23" i="66"/>
  <c r="P17" i="66"/>
  <c r="P20" i="66"/>
  <c r="P22" i="66"/>
  <c r="P25" i="66"/>
  <c r="P24" i="66"/>
  <c r="F32" i="80"/>
  <c r="D7" i="67"/>
  <c r="O4" i="67" s="1"/>
  <c r="N23" i="66"/>
  <c r="N22" i="66"/>
  <c r="N25" i="66"/>
  <c r="N21" i="66"/>
  <c r="N19" i="66"/>
  <c r="N24" i="66"/>
  <c r="N17" i="66"/>
  <c r="N20" i="66"/>
  <c r="N18" i="66"/>
  <c r="F30" i="80"/>
  <c r="D5" i="67"/>
  <c r="M4" i="67" s="1"/>
  <c r="O18" i="66"/>
  <c r="O17" i="66"/>
  <c r="O19" i="66"/>
  <c r="O20" i="66"/>
  <c r="O21" i="66"/>
  <c r="O22" i="66"/>
  <c r="O24" i="66"/>
  <c r="O23" i="66"/>
  <c r="O25" i="66"/>
  <c r="N13" i="67"/>
  <c r="N14" i="67"/>
  <c r="N15" i="67"/>
  <c r="N16" i="67"/>
  <c r="N17" i="67"/>
  <c r="F37" i="80"/>
  <c r="F43" i="80" s="1"/>
  <c r="D7" i="68"/>
  <c r="N5" i="68" s="1"/>
  <c r="X38" i="65"/>
  <c r="Y39" i="65"/>
  <c r="Z39" i="65"/>
  <c r="W33" i="65"/>
  <c r="R38" i="65"/>
  <c r="Z40" i="65"/>
  <c r="Y13" i="65"/>
  <c r="W7" i="65"/>
  <c r="Z14" i="65"/>
  <c r="Z10" i="65"/>
  <c r="X12" i="65"/>
  <c r="M18" i="65"/>
  <c r="R17" i="65"/>
  <c r="F12" i="82" s="1"/>
  <c r="Q17" i="66" l="1"/>
  <c r="F22" i="82" s="1"/>
  <c r="Q25" i="66"/>
  <c r="Q19" i="66"/>
  <c r="F24" i="82" s="1"/>
  <c r="Q21" i="66"/>
  <c r="F26" i="82" s="1"/>
  <c r="Q24" i="66"/>
  <c r="Q22" i="66"/>
  <c r="F27" i="82" s="1"/>
  <c r="Q23" i="66"/>
  <c r="Q18" i="66"/>
  <c r="F23" i="82" s="1"/>
  <c r="Q20" i="66"/>
  <c r="F25" i="82" s="1"/>
  <c r="M13" i="67"/>
  <c r="M16" i="67"/>
  <c r="M14" i="67"/>
  <c r="M15" i="67"/>
  <c r="M17" i="67"/>
  <c r="F36" i="80"/>
  <c r="D6" i="68"/>
  <c r="M5" i="68" s="1"/>
  <c r="N18" i="68"/>
  <c r="N17" i="68"/>
  <c r="N16" i="68"/>
  <c r="N15" i="68"/>
  <c r="N14" i="68"/>
  <c r="N13" i="68"/>
  <c r="D6" i="69"/>
  <c r="N4" i="69" s="1"/>
  <c r="O17" i="67"/>
  <c r="O13" i="67"/>
  <c r="O16" i="67"/>
  <c r="O15" i="67"/>
  <c r="O14" i="67"/>
  <c r="F38" i="80"/>
  <c r="D8" i="68"/>
  <c r="O5" i="68" s="1"/>
  <c r="Z33" i="65"/>
  <c r="Z38" i="65"/>
  <c r="R18" i="65"/>
  <c r="F13" i="82" s="1"/>
  <c r="M19" i="65"/>
  <c r="Z12" i="65"/>
  <c r="Z7" i="65"/>
  <c r="Z13" i="65"/>
  <c r="F52" i="80"/>
  <c r="N13" i="69" l="1"/>
  <c r="N14" i="69"/>
  <c r="N15" i="69"/>
  <c r="N11" i="69"/>
  <c r="N12" i="69"/>
  <c r="M13" i="68"/>
  <c r="M14" i="68"/>
  <c r="M15" i="68"/>
  <c r="M16" i="68"/>
  <c r="M17" i="68"/>
  <c r="M18" i="68"/>
  <c r="F42" i="80"/>
  <c r="P17" i="67"/>
  <c r="F36" i="82" s="1"/>
  <c r="O17" i="68"/>
  <c r="O16" i="68"/>
  <c r="O15" i="68"/>
  <c r="O14" i="68"/>
  <c r="O13" i="68"/>
  <c r="O18" i="68"/>
  <c r="P15" i="67"/>
  <c r="F34" i="82" s="1"/>
  <c r="F44" i="80"/>
  <c r="P14" i="67"/>
  <c r="F33" i="82" s="1"/>
  <c r="P16" i="67"/>
  <c r="F35" i="82" s="1"/>
  <c r="P13" i="67"/>
  <c r="F32" i="82" s="1"/>
  <c r="M20" i="65"/>
  <c r="R19" i="65"/>
  <c r="F14" i="82" s="1"/>
  <c r="F57" i="80"/>
  <c r="D6" i="70" s="1"/>
  <c r="M5" i="70" s="1"/>
  <c r="P17" i="68" l="1"/>
  <c r="F44" i="82" s="1"/>
  <c r="M13" i="70"/>
  <c r="M16" i="70"/>
  <c r="M14" i="70"/>
  <c r="M15" i="70"/>
  <c r="M12" i="70"/>
  <c r="D5" i="69"/>
  <c r="M4" i="69" s="1"/>
  <c r="P18" i="68"/>
  <c r="F45" i="82" s="1"/>
  <c r="D7" i="69"/>
  <c r="O4" i="69" s="1"/>
  <c r="F53" i="80"/>
  <c r="P16" i="68"/>
  <c r="F43" i="82" s="1"/>
  <c r="P15" i="68"/>
  <c r="F42" i="82" s="1"/>
  <c r="P14" i="68"/>
  <c r="F41" i="82" s="1"/>
  <c r="P13" i="68"/>
  <c r="F40" i="82" s="1"/>
  <c r="R20" i="65"/>
  <c r="F15" i="82" s="1"/>
  <c r="M21" i="65"/>
  <c r="M11" i="69" l="1"/>
  <c r="M12" i="69"/>
  <c r="M13" i="69"/>
  <c r="M14" i="69"/>
  <c r="M15" i="69"/>
  <c r="O13" i="69"/>
  <c r="O14" i="69"/>
  <c r="O15" i="69"/>
  <c r="O12" i="69"/>
  <c r="O11" i="69"/>
  <c r="F58" i="80"/>
  <c r="R21" i="65"/>
  <c r="F16" i="82" s="1"/>
  <c r="M22" i="65"/>
  <c r="D7" i="70" l="1"/>
  <c r="N5" i="70" s="1"/>
  <c r="R22" i="65"/>
  <c r="F17" i="82" s="1"/>
  <c r="M23" i="65"/>
  <c r="N12" i="70" l="1"/>
  <c r="O12" i="70" s="1"/>
  <c r="F57" i="82" s="1"/>
  <c r="N13" i="70"/>
  <c r="O13" i="70" s="1"/>
  <c r="F58" i="82" s="1"/>
  <c r="N14" i="70"/>
  <c r="O14" i="70" s="1"/>
  <c r="F59" i="82" s="1"/>
  <c r="N15" i="70"/>
  <c r="O15" i="70" s="1"/>
  <c r="F60" i="82" s="1"/>
  <c r="N16" i="70"/>
  <c r="O16" i="70" s="1"/>
  <c r="F61" i="82" s="1"/>
  <c r="R23" i="65"/>
  <c r="M24" i="65"/>
  <c r="R24" i="65" l="1"/>
  <c r="M25" i="65"/>
  <c r="R25" i="65" s="1"/>
  <c r="F9" i="78" l="1"/>
  <c r="F5" i="78"/>
  <c r="D9" i="78"/>
  <c r="D5" i="78"/>
  <c r="E135" i="77"/>
  <c r="C127" i="77"/>
  <c r="E125" i="77"/>
  <c r="E128" i="77" s="1"/>
  <c r="E122" i="77"/>
  <c r="D122" i="77"/>
  <c r="C121" i="77"/>
  <c r="H118" i="77" s="1"/>
  <c r="F120" i="77"/>
  <c r="G120" i="77" s="1"/>
  <c r="G122" i="77" s="1"/>
  <c r="F126" i="77" s="1"/>
  <c r="F119" i="77"/>
  <c r="F122" i="77" s="1"/>
  <c r="F125" i="77" s="1"/>
  <c r="G118" i="77"/>
  <c r="G121" i="77" s="1"/>
  <c r="F118" i="77"/>
  <c r="F121" i="77" s="1"/>
  <c r="C112" i="77"/>
  <c r="E111" i="77"/>
  <c r="E115" i="77" s="1"/>
  <c r="C111" i="77"/>
  <c r="E108" i="77"/>
  <c r="D108" i="77"/>
  <c r="H107" i="77"/>
  <c r="G107" i="77"/>
  <c r="F107" i="77"/>
  <c r="C107" i="77"/>
  <c r="I103" i="77" s="1"/>
  <c r="H106" i="77"/>
  <c r="H108" i="77" s="1"/>
  <c r="F113" i="77" s="1"/>
  <c r="G106" i="77"/>
  <c r="F106" i="77"/>
  <c r="J106" i="77" s="1"/>
  <c r="F105" i="77"/>
  <c r="F104" i="77"/>
  <c r="F108" i="77" s="1"/>
  <c r="F111" i="77" s="1"/>
  <c r="H103" i="77"/>
  <c r="C113" i="77" s="1"/>
  <c r="C99" i="77"/>
  <c r="E93" i="77"/>
  <c r="D93" i="77"/>
  <c r="E96" i="77" s="1"/>
  <c r="H92" i="77"/>
  <c r="C92" i="77"/>
  <c r="I88" i="77" s="1"/>
  <c r="G91" i="77"/>
  <c r="F91" i="77"/>
  <c r="F90" i="77"/>
  <c r="F89" i="77"/>
  <c r="J89" i="77" s="1"/>
  <c r="H88" i="77"/>
  <c r="G88" i="77"/>
  <c r="G92" i="77" s="1"/>
  <c r="F88" i="77"/>
  <c r="F92" i="77" s="1"/>
  <c r="E85" i="77"/>
  <c r="C84" i="77"/>
  <c r="E81" i="77"/>
  <c r="E78" i="77"/>
  <c r="D78" i="77"/>
  <c r="H77" i="77"/>
  <c r="F77" i="77"/>
  <c r="C77" i="77"/>
  <c r="I73" i="77" s="1"/>
  <c r="F74" i="77"/>
  <c r="H73" i="77"/>
  <c r="G73" i="77"/>
  <c r="G76" i="77" s="1"/>
  <c r="F73" i="77"/>
  <c r="F76" i="77" s="1"/>
  <c r="C69" i="77"/>
  <c r="E65" i="77"/>
  <c r="E70" i="77" s="1"/>
  <c r="E63" i="77"/>
  <c r="D63" i="77"/>
  <c r="I62" i="77"/>
  <c r="H62" i="77"/>
  <c r="F62" i="77"/>
  <c r="C62" i="77"/>
  <c r="J57" i="77" s="1"/>
  <c r="G60" i="77"/>
  <c r="F60" i="77"/>
  <c r="F59" i="77"/>
  <c r="F58" i="77"/>
  <c r="K58" i="77" s="1"/>
  <c r="I57" i="77"/>
  <c r="H57" i="77"/>
  <c r="H61" i="77" s="1"/>
  <c r="G57" i="77"/>
  <c r="G61" i="77" s="1"/>
  <c r="F57" i="77"/>
  <c r="F61" i="77" s="1"/>
  <c r="K51" i="77"/>
  <c r="C49" i="77"/>
  <c r="E42" i="77"/>
  <c r="D42" i="77"/>
  <c r="E45" i="77" s="1"/>
  <c r="G40" i="77"/>
  <c r="F40" i="77"/>
  <c r="F37" i="77"/>
  <c r="K37" i="77" s="1"/>
  <c r="J36" i="77"/>
  <c r="I36" i="77"/>
  <c r="I41" i="77" s="1"/>
  <c r="H36" i="77"/>
  <c r="H41" i="77" s="1"/>
  <c r="G36" i="77"/>
  <c r="G39" i="77" s="1"/>
  <c r="F36" i="77"/>
  <c r="F39" i="77" s="1"/>
  <c r="B2" i="77"/>
  <c r="F135" i="76"/>
  <c r="D127" i="76"/>
  <c r="F122" i="76"/>
  <c r="E122" i="76"/>
  <c r="F125" i="76" s="1"/>
  <c r="F128" i="76" s="1"/>
  <c r="H121" i="76"/>
  <c r="G121" i="76"/>
  <c r="I121" i="76" s="1"/>
  <c r="I122" i="76" s="1"/>
  <c r="G127" i="76" s="1"/>
  <c r="D121" i="76"/>
  <c r="I118" i="76" s="1"/>
  <c r="G120" i="76"/>
  <c r="H120" i="76" s="1"/>
  <c r="G119" i="76"/>
  <c r="H118" i="76"/>
  <c r="G118" i="76"/>
  <c r="D112" i="76"/>
  <c r="D111" i="76"/>
  <c r="F108" i="76"/>
  <c r="E108" i="76"/>
  <c r="F111" i="76" s="1"/>
  <c r="F115" i="76" s="1"/>
  <c r="H107" i="76"/>
  <c r="G107" i="76"/>
  <c r="D107" i="76"/>
  <c r="J103" i="76" s="1"/>
  <c r="H106" i="76"/>
  <c r="G106" i="76"/>
  <c r="G105" i="76"/>
  <c r="K104" i="76"/>
  <c r="G104" i="76"/>
  <c r="I103" i="76"/>
  <c r="D113" i="76" s="1"/>
  <c r="D99" i="76"/>
  <c r="F93" i="76"/>
  <c r="E93" i="76"/>
  <c r="F96" i="76" s="1"/>
  <c r="G92" i="76"/>
  <c r="J92" i="76" s="1"/>
  <c r="J93" i="76" s="1"/>
  <c r="G99" i="76" s="1"/>
  <c r="D92" i="76"/>
  <c r="J88" i="76" s="1"/>
  <c r="H91" i="76"/>
  <c r="G90" i="76"/>
  <c r="H90" i="76" s="1"/>
  <c r="H93" i="76" s="1"/>
  <c r="G97" i="76" s="1"/>
  <c r="G89" i="76"/>
  <c r="K89" i="76" s="1"/>
  <c r="I88" i="76"/>
  <c r="I92" i="76" s="1"/>
  <c r="H88" i="76"/>
  <c r="H92" i="76" s="1"/>
  <c r="G88" i="76"/>
  <c r="G91" i="76" s="1"/>
  <c r="D84" i="76"/>
  <c r="F78" i="76"/>
  <c r="E78" i="76"/>
  <c r="F81" i="76" s="1"/>
  <c r="G77" i="76"/>
  <c r="D77" i="76"/>
  <c r="J73" i="76" s="1"/>
  <c r="G75" i="76"/>
  <c r="K74" i="76"/>
  <c r="G74" i="76"/>
  <c r="I73" i="76"/>
  <c r="I77" i="76" s="1"/>
  <c r="H73" i="76"/>
  <c r="H76" i="76" s="1"/>
  <c r="G73" i="76"/>
  <c r="G76" i="76" s="1"/>
  <c r="D69" i="76"/>
  <c r="F63" i="76"/>
  <c r="E63" i="76"/>
  <c r="F65" i="76" s="1"/>
  <c r="J62" i="76"/>
  <c r="H62" i="76"/>
  <c r="G62" i="76"/>
  <c r="D62" i="76"/>
  <c r="K57" i="76" s="1"/>
  <c r="H60" i="76"/>
  <c r="G58" i="76"/>
  <c r="L58" i="76" s="1"/>
  <c r="J57" i="76"/>
  <c r="I57" i="76"/>
  <c r="I61" i="76" s="1"/>
  <c r="H57" i="76"/>
  <c r="H61" i="76" s="1"/>
  <c r="G57" i="76"/>
  <c r="G61" i="76" s="1"/>
  <c r="L51" i="76"/>
  <c r="D49" i="76"/>
  <c r="F42" i="76"/>
  <c r="E42" i="76"/>
  <c r="F45" i="76" s="1"/>
  <c r="G37" i="76"/>
  <c r="L37" i="76" s="1"/>
  <c r="K36" i="76"/>
  <c r="J36" i="76"/>
  <c r="J41" i="76" s="1"/>
  <c r="I36" i="76"/>
  <c r="I41" i="76" s="1"/>
  <c r="H36" i="76"/>
  <c r="H41" i="76" s="1"/>
  <c r="G36" i="76"/>
  <c r="G39" i="76" s="1"/>
  <c r="C2" i="76"/>
  <c r="J56" i="75"/>
  <c r="D56" i="75"/>
  <c r="J51" i="75"/>
  <c r="D51" i="75"/>
  <c r="J46" i="75"/>
  <c r="D46" i="75"/>
  <c r="J40" i="75"/>
  <c r="D40" i="75"/>
  <c r="J34" i="75"/>
  <c r="D34" i="75"/>
  <c r="J28" i="75"/>
  <c r="D28" i="75"/>
  <c r="J22" i="75"/>
  <c r="D22" i="75"/>
  <c r="U16" i="75"/>
  <c r="J15" i="75"/>
  <c r="D15" i="75"/>
  <c r="S54" i="74"/>
  <c r="S49" i="74"/>
  <c r="S43" i="74"/>
  <c r="S37" i="74"/>
  <c r="S31" i="74"/>
  <c r="S25" i="74"/>
  <c r="S18" i="74"/>
  <c r="S12" i="74"/>
  <c r="S13" i="74"/>
  <c r="S14" i="74"/>
  <c r="S15" i="74"/>
  <c r="S11" i="74"/>
  <c r="U16" i="74"/>
  <c r="J56" i="74"/>
  <c r="D56" i="74"/>
  <c r="J51" i="74"/>
  <c r="D51" i="74"/>
  <c r="J46" i="74"/>
  <c r="D46" i="74"/>
  <c r="J40" i="74"/>
  <c r="D40" i="74"/>
  <c r="J34" i="74"/>
  <c r="D34" i="74"/>
  <c r="J28" i="74"/>
  <c r="D28" i="74"/>
  <c r="J22" i="74"/>
  <c r="D22" i="74"/>
  <c r="J15" i="74"/>
  <c r="D15" i="74"/>
  <c r="G40" i="76" l="1"/>
  <c r="H40" i="76"/>
  <c r="H122" i="76"/>
  <c r="G126" i="76" s="1"/>
  <c r="H39" i="76"/>
  <c r="G59" i="76"/>
  <c r="G108" i="76"/>
  <c r="G111" i="76" s="1"/>
  <c r="G122" i="76"/>
  <c r="G125" i="76" s="1"/>
  <c r="G128" i="76" s="1"/>
  <c r="F19" i="85"/>
  <c r="U18" i="85" s="1"/>
  <c r="F19" i="79"/>
  <c r="U18" i="79" s="1"/>
  <c r="F14" i="85"/>
  <c r="F14" i="79"/>
  <c r="F13" i="85"/>
  <c r="F13" i="79"/>
  <c r="F12" i="85"/>
  <c r="U12" i="85" s="1"/>
  <c r="F12" i="79"/>
  <c r="U12" i="79" s="1"/>
  <c r="F15" i="85"/>
  <c r="F15" i="79"/>
  <c r="U50" i="79"/>
  <c r="S59" i="74"/>
  <c r="E100" i="77"/>
  <c r="H76" i="77"/>
  <c r="H78" i="77" s="1"/>
  <c r="F83" i="77" s="1"/>
  <c r="H39" i="77"/>
  <c r="C114" i="77"/>
  <c r="I92" i="77"/>
  <c r="I93" i="77" s="1"/>
  <c r="F99" i="77" s="1"/>
  <c r="J92" i="77"/>
  <c r="F78" i="77"/>
  <c r="F81" i="77" s="1"/>
  <c r="J77" i="77"/>
  <c r="F93" i="77"/>
  <c r="F96" i="77" s="1"/>
  <c r="E50" i="77"/>
  <c r="J91" i="77"/>
  <c r="H121" i="77"/>
  <c r="H122" i="77" s="1"/>
  <c r="F127" i="77" s="1"/>
  <c r="K61" i="77"/>
  <c r="I61" i="77"/>
  <c r="I63" i="77" s="1"/>
  <c r="F68" i="77" s="1"/>
  <c r="I40" i="77"/>
  <c r="I42" i="77" s="1"/>
  <c r="F48" i="77" s="1"/>
  <c r="F128" i="77"/>
  <c r="G59" i="77"/>
  <c r="G63" i="77" s="1"/>
  <c r="F66" i="77" s="1"/>
  <c r="G90" i="77"/>
  <c r="G93" i="77" s="1"/>
  <c r="F97" i="77" s="1"/>
  <c r="H40" i="77"/>
  <c r="K40" i="77" s="1"/>
  <c r="G62" i="77"/>
  <c r="K62" i="77" s="1"/>
  <c r="G77" i="77"/>
  <c r="J74" i="77"/>
  <c r="I77" i="77"/>
  <c r="I78" i="77" s="1"/>
  <c r="F84" i="77" s="1"/>
  <c r="J104" i="77"/>
  <c r="I107" i="77"/>
  <c r="I108" i="77" s="1"/>
  <c r="F114" i="77" s="1"/>
  <c r="F38" i="77"/>
  <c r="F42" i="77" s="1"/>
  <c r="F45" i="77" s="1"/>
  <c r="F41" i="77"/>
  <c r="H60" i="77"/>
  <c r="H63" i="77" s="1"/>
  <c r="F67" i="77" s="1"/>
  <c r="J62" i="77"/>
  <c r="J63" i="77" s="1"/>
  <c r="F69" i="77" s="1"/>
  <c r="F75" i="77"/>
  <c r="H91" i="77"/>
  <c r="H93" i="77" s="1"/>
  <c r="F98" i="77" s="1"/>
  <c r="G41" i="77"/>
  <c r="G105" i="77"/>
  <c r="G108" i="77" s="1"/>
  <c r="F112" i="77" s="1"/>
  <c r="F63" i="77"/>
  <c r="F65" i="77" s="1"/>
  <c r="F50" i="76"/>
  <c r="F100" i="76"/>
  <c r="I39" i="76"/>
  <c r="L39" i="76" s="1"/>
  <c r="G78" i="76"/>
  <c r="G81" i="76" s="1"/>
  <c r="K107" i="76"/>
  <c r="F70" i="76"/>
  <c r="I91" i="76"/>
  <c r="I93" i="76" s="1"/>
  <c r="G98" i="76" s="1"/>
  <c r="J61" i="76"/>
  <c r="J63" i="76" s="1"/>
  <c r="G68" i="76" s="1"/>
  <c r="K92" i="76"/>
  <c r="I76" i="76"/>
  <c r="I78" i="76" s="1"/>
  <c r="G83" i="76" s="1"/>
  <c r="D114" i="76"/>
  <c r="H59" i="76"/>
  <c r="H63" i="76" s="1"/>
  <c r="G66" i="76" s="1"/>
  <c r="I40" i="76"/>
  <c r="H77" i="76"/>
  <c r="J77" i="76" s="1"/>
  <c r="J78" i="76" s="1"/>
  <c r="G84" i="76" s="1"/>
  <c r="K90" i="76"/>
  <c r="J40" i="76"/>
  <c r="J42" i="76" s="1"/>
  <c r="G48" i="76" s="1"/>
  <c r="G60" i="76"/>
  <c r="I62" i="76"/>
  <c r="F85" i="76"/>
  <c r="G93" i="76"/>
  <c r="G96" i="76" s="1"/>
  <c r="I107" i="76"/>
  <c r="J107" i="76"/>
  <c r="J108" i="76" s="1"/>
  <c r="G114" i="76" s="1"/>
  <c r="G38" i="76"/>
  <c r="G41" i="76"/>
  <c r="K62" i="76"/>
  <c r="K63" i="76" s="1"/>
  <c r="G69" i="76" s="1"/>
  <c r="H75" i="76"/>
  <c r="K75" i="76" s="1"/>
  <c r="H105" i="76"/>
  <c r="H108" i="76" s="1"/>
  <c r="G112" i="76" s="1"/>
  <c r="K105" i="76"/>
  <c r="G63" i="76"/>
  <c r="G65" i="76" s="1"/>
  <c r="I106" i="76"/>
  <c r="I108" i="76" s="1"/>
  <c r="G113" i="76" s="1"/>
  <c r="F63" i="85" l="1"/>
  <c r="F64" i="84"/>
  <c r="F63" i="79"/>
  <c r="L40" i="76"/>
  <c r="K106" i="76"/>
  <c r="K108" i="76" s="1"/>
  <c r="F20" i="85"/>
  <c r="F20" i="79"/>
  <c r="F18" i="85"/>
  <c r="U17" i="85" s="1"/>
  <c r="F18" i="79"/>
  <c r="U17" i="79" s="1"/>
  <c r="F24" i="85"/>
  <c r="F24" i="79"/>
  <c r="H42" i="77"/>
  <c r="F47" i="77" s="1"/>
  <c r="K39" i="77"/>
  <c r="F100" i="77"/>
  <c r="J107" i="77"/>
  <c r="G38" i="77"/>
  <c r="G42" i="77" s="1"/>
  <c r="F46" i="77" s="1"/>
  <c r="J90" i="77"/>
  <c r="J93" i="77" s="1"/>
  <c r="J105" i="77"/>
  <c r="J108" i="77" s="1"/>
  <c r="J76" i="77"/>
  <c r="J41" i="77"/>
  <c r="J42" i="77" s="1"/>
  <c r="F49" i="77" s="1"/>
  <c r="F70" i="77"/>
  <c r="G75" i="77"/>
  <c r="G78" i="77" s="1"/>
  <c r="F82" i="77" s="1"/>
  <c r="K60" i="77"/>
  <c r="K59" i="77"/>
  <c r="K63" i="77" s="1"/>
  <c r="F115" i="77"/>
  <c r="G42" i="76"/>
  <c r="G45" i="76" s="1"/>
  <c r="H38" i="76"/>
  <c r="H42" i="76" s="1"/>
  <c r="G46" i="76" s="1"/>
  <c r="L61" i="76"/>
  <c r="I42" i="76"/>
  <c r="G47" i="76" s="1"/>
  <c r="K77" i="76"/>
  <c r="K78" i="76" s="1"/>
  <c r="L62" i="76"/>
  <c r="G100" i="76"/>
  <c r="K76" i="76"/>
  <c r="K91" i="76"/>
  <c r="K93" i="76" s="1"/>
  <c r="K41" i="76"/>
  <c r="K42" i="76" s="1"/>
  <c r="G49" i="76" s="1"/>
  <c r="G115" i="76"/>
  <c r="H78" i="76"/>
  <c r="G82" i="76" s="1"/>
  <c r="I60" i="76"/>
  <c r="I63" i="76" s="1"/>
  <c r="G67" i="76" s="1"/>
  <c r="L59" i="76"/>
  <c r="F61" i="85" l="1"/>
  <c r="R22" i="85" s="1"/>
  <c r="S23" i="85" s="1"/>
  <c r="S24" i="85" s="1"/>
  <c r="F62" i="84"/>
  <c r="S23" i="84" s="1"/>
  <c r="F61" i="79"/>
  <c r="S23" i="79" s="1"/>
  <c r="F62" i="85"/>
  <c r="S34" i="85" s="1"/>
  <c r="F63" i="84"/>
  <c r="S34" i="84" s="1"/>
  <c r="F62" i="79"/>
  <c r="S34" i="79" s="1"/>
  <c r="S37" i="79"/>
  <c r="S43" i="79"/>
  <c r="S37" i="84"/>
  <c r="S43" i="84"/>
  <c r="S37" i="85"/>
  <c r="S43" i="85"/>
  <c r="F29" i="85"/>
  <c r="F29" i="79"/>
  <c r="F30" i="85"/>
  <c r="F30" i="79"/>
  <c r="F23" i="85"/>
  <c r="U23" i="85" s="1"/>
  <c r="U24" i="85" s="1"/>
  <c r="H61" i="85" s="1"/>
  <c r="F23" i="79"/>
  <c r="U23" i="79" s="1"/>
  <c r="U24" i="79" s="1"/>
  <c r="H61" i="79" s="1"/>
  <c r="F25" i="85"/>
  <c r="F25" i="79"/>
  <c r="J75" i="77"/>
  <c r="J78" i="77" s="1"/>
  <c r="K41" i="77"/>
  <c r="K38" i="77"/>
  <c r="K42" i="77" s="1"/>
  <c r="F85" i="77"/>
  <c r="F50" i="77"/>
  <c r="L41" i="76"/>
  <c r="L60" i="76"/>
  <c r="L38" i="76"/>
  <c r="L42" i="76" s="1"/>
  <c r="G70" i="76"/>
  <c r="G50" i="76"/>
  <c r="G85" i="76"/>
  <c r="L63" i="76"/>
  <c r="F60" i="85" l="1"/>
  <c r="S19" i="85" s="1"/>
  <c r="F61" i="84"/>
  <c r="F60" i="79"/>
  <c r="F58" i="85"/>
  <c r="S6" i="85" s="1"/>
  <c r="U6" i="85" s="1"/>
  <c r="U7" i="85" s="1"/>
  <c r="H58" i="85" s="1"/>
  <c r="F59" i="84"/>
  <c r="S6" i="84" s="1"/>
  <c r="F58" i="79"/>
  <c r="F59" i="85"/>
  <c r="S13" i="85" s="1"/>
  <c r="U13" i="85" s="1"/>
  <c r="U14" i="85" s="1"/>
  <c r="H59" i="85" s="1"/>
  <c r="F60" i="84"/>
  <c r="S13" i="84" s="1"/>
  <c r="F59" i="79"/>
  <c r="S13" i="79" s="1"/>
  <c r="U13" i="79" s="1"/>
  <c r="U14" i="79" s="1"/>
  <c r="F35" i="85"/>
  <c r="F35" i="79"/>
  <c r="F28" i="85"/>
  <c r="F28" i="79"/>
  <c r="F34" i="85"/>
  <c r="U34" i="85" s="1"/>
  <c r="F34" i="79"/>
  <c r="U34" i="79" s="1"/>
  <c r="F61" i="80"/>
  <c r="F47" i="85"/>
  <c r="F63" i="80"/>
  <c r="F49" i="85"/>
  <c r="F62" i="80"/>
  <c r="F48" i="85"/>
  <c r="R16" i="79" l="1"/>
  <c r="S19" i="79"/>
  <c r="R19" i="84"/>
  <c r="S19" i="84"/>
  <c r="S20" i="84" s="1"/>
  <c r="S4" i="79"/>
  <c r="S6" i="79"/>
  <c r="U6" i="79" s="1"/>
  <c r="U7" i="79" s="1"/>
  <c r="H58" i="79" s="1"/>
  <c r="S20" i="85"/>
  <c r="R19" i="85"/>
  <c r="U19" i="85"/>
  <c r="U20" i="85" s="1"/>
  <c r="H60" i="85" s="1"/>
  <c r="F38" i="85"/>
  <c r="F38" i="79"/>
  <c r="F33" i="85"/>
  <c r="U33" i="85" s="1"/>
  <c r="U35" i="85" s="1"/>
  <c r="H62" i="85" s="1"/>
  <c r="F33" i="79"/>
  <c r="U33" i="79" s="1"/>
  <c r="U35" i="79" s="1"/>
  <c r="H62" i="79" s="1"/>
  <c r="F39" i="85"/>
  <c r="F39" i="79"/>
  <c r="M54" i="68"/>
  <c r="N54" i="68" s="1"/>
  <c r="R19" i="79" l="1"/>
  <c r="U19" i="79"/>
  <c r="U20" i="79" s="1"/>
  <c r="H60" i="79" s="1"/>
  <c r="F42" i="85"/>
  <c r="F42" i="79"/>
  <c r="F43" i="85"/>
  <c r="U43" i="85" s="1"/>
  <c r="F43" i="79"/>
  <c r="U43" i="79" s="1"/>
  <c r="H42" i="3"/>
  <c r="H41" i="3"/>
  <c r="H40" i="3"/>
  <c r="D55" i="72" l="1"/>
  <c r="D50" i="72"/>
  <c r="D45" i="72"/>
  <c r="D39" i="72"/>
  <c r="D33" i="72"/>
  <c r="D27" i="72"/>
  <c r="D21" i="72"/>
  <c r="D14" i="72"/>
  <c r="C4" i="72"/>
  <c r="N54" i="70"/>
  <c r="N55" i="70"/>
  <c r="N56" i="70"/>
  <c r="N57" i="70"/>
  <c r="N53" i="70"/>
  <c r="D52" i="70"/>
  <c r="T51" i="70"/>
  <c r="N51" i="70"/>
  <c r="B54" i="70"/>
  <c r="O58" i="69"/>
  <c r="O57" i="69"/>
  <c r="N54" i="69"/>
  <c r="D53" i="69"/>
  <c r="L53" i="69" s="1"/>
  <c r="V52" i="69"/>
  <c r="O52" i="69"/>
  <c r="S54" i="69"/>
  <c r="S55" i="69"/>
  <c r="B56" i="69"/>
  <c r="O59" i="68" l="1"/>
  <c r="O58" i="68"/>
  <c r="N55" i="68"/>
  <c r="M49" i="68"/>
  <c r="P54" i="68"/>
  <c r="D53" i="68"/>
  <c r="V52" i="68"/>
  <c r="O52" i="68"/>
  <c r="B56" i="68"/>
  <c r="AN86" i="58"/>
  <c r="AO86" i="58"/>
  <c r="AP86" i="58"/>
  <c r="AN87" i="58"/>
  <c r="AP87" i="58"/>
  <c r="AN81" i="58"/>
  <c r="AP81" i="58"/>
  <c r="AM86" i="58"/>
  <c r="M26" i="67" l="1"/>
  <c r="V23" i="67"/>
  <c r="O23" i="67"/>
  <c r="B27" i="67"/>
  <c r="D64" i="66"/>
  <c r="L64" i="66" s="1"/>
  <c r="L76" i="66" s="1"/>
  <c r="X63" i="66"/>
  <c r="P63" i="66"/>
  <c r="L66" i="66"/>
  <c r="T66" i="66" s="1"/>
  <c r="L67" i="66"/>
  <c r="T67" i="66" s="1"/>
  <c r="T65" i="66"/>
  <c r="B68" i="66"/>
  <c r="N62" i="65"/>
  <c r="O62" i="65" s="1"/>
  <c r="W62" i="65" s="1"/>
  <c r="D61" i="65"/>
  <c r="O59" i="65" s="1"/>
  <c r="D62" i="65"/>
  <c r="P59" i="65" s="1"/>
  <c r="D63" i="65"/>
  <c r="Q59" i="65" s="1"/>
  <c r="D60" i="65"/>
  <c r="N59" i="65" s="1"/>
  <c r="D59" i="65"/>
  <c r="M59" i="65" s="1"/>
  <c r="M71" i="65" s="1"/>
  <c r="Y58" i="65"/>
  <c r="Q58" i="65"/>
  <c r="B63" i="65"/>
  <c r="T57" i="70"/>
  <c r="R57" i="70"/>
  <c r="S57" i="70"/>
  <c r="T56" i="70"/>
  <c r="R56" i="70"/>
  <c r="S56" i="70"/>
  <c r="T55" i="70"/>
  <c r="R55" i="70"/>
  <c r="S55" i="70"/>
  <c r="T54" i="70"/>
  <c r="R54" i="70"/>
  <c r="S54" i="70"/>
  <c r="T53" i="70"/>
  <c r="R53" i="70"/>
  <c r="L52" i="70"/>
  <c r="L59" i="70" s="1"/>
  <c r="V58" i="69"/>
  <c r="S58" i="69"/>
  <c r="T58" i="69"/>
  <c r="V57" i="69"/>
  <c r="S57" i="69"/>
  <c r="T57" i="69"/>
  <c r="V56" i="69"/>
  <c r="S56" i="69"/>
  <c r="N56" i="69"/>
  <c r="V55" i="69"/>
  <c r="N55" i="69"/>
  <c r="P55" i="69" s="1"/>
  <c r="V54" i="69"/>
  <c r="U54" i="69"/>
  <c r="L60" i="69"/>
  <c r="V59" i="68"/>
  <c r="T59" i="68"/>
  <c r="S59" i="68"/>
  <c r="V58" i="68"/>
  <c r="S58" i="68"/>
  <c r="V57" i="68"/>
  <c r="S57" i="68"/>
  <c r="T57" i="68"/>
  <c r="V56" i="68"/>
  <c r="T56" i="68"/>
  <c r="S56" i="68"/>
  <c r="N56" i="68"/>
  <c r="V55" i="68"/>
  <c r="U55" i="68"/>
  <c r="S55" i="68"/>
  <c r="V54" i="68"/>
  <c r="U54" i="68"/>
  <c r="S54" i="68"/>
  <c r="T54" i="68"/>
  <c r="W54" i="68" s="1"/>
  <c r="L53" i="68"/>
  <c r="L61" i="68" s="1"/>
  <c r="V30" i="67"/>
  <c r="V29" i="67"/>
  <c r="V28" i="67"/>
  <c r="V27" i="67"/>
  <c r="V26" i="67"/>
  <c r="U26" i="67"/>
  <c r="V25" i="67"/>
  <c r="U25" i="67"/>
  <c r="T25" i="67"/>
  <c r="L25" i="67"/>
  <c r="S25" i="67" s="1"/>
  <c r="U74" i="66"/>
  <c r="T74" i="66"/>
  <c r="N74" i="66"/>
  <c r="V74" i="66" s="1"/>
  <c r="U73" i="66"/>
  <c r="T73" i="66"/>
  <c r="N73" i="66"/>
  <c r="V73" i="66" s="1"/>
  <c r="X72" i="66"/>
  <c r="U72" i="66"/>
  <c r="T72" i="66"/>
  <c r="N72" i="66"/>
  <c r="V72" i="66" s="1"/>
  <c r="X71" i="66"/>
  <c r="U71" i="66"/>
  <c r="T71" i="66"/>
  <c r="N71" i="66"/>
  <c r="V71" i="66" s="1"/>
  <c r="X70" i="66"/>
  <c r="U70" i="66"/>
  <c r="T70" i="66"/>
  <c r="N70" i="66"/>
  <c r="O70" i="66" s="1"/>
  <c r="W70" i="66" s="1"/>
  <c r="X69" i="66"/>
  <c r="W69" i="66"/>
  <c r="T69" i="66"/>
  <c r="X68" i="66"/>
  <c r="W68" i="66"/>
  <c r="T68" i="66"/>
  <c r="U68" i="66"/>
  <c r="X67" i="66"/>
  <c r="W67" i="66"/>
  <c r="X66" i="66"/>
  <c r="W66" i="66"/>
  <c r="V66" i="66"/>
  <c r="X65" i="66"/>
  <c r="W65" i="66"/>
  <c r="V65" i="66"/>
  <c r="U65" i="66"/>
  <c r="V69" i="65"/>
  <c r="U69" i="65"/>
  <c r="O69" i="65"/>
  <c r="P69" i="65" s="1"/>
  <c r="V68" i="65"/>
  <c r="U68" i="65"/>
  <c r="O68" i="65"/>
  <c r="P68" i="65" s="1"/>
  <c r="Y67" i="65"/>
  <c r="V67" i="65"/>
  <c r="U67" i="65"/>
  <c r="O67" i="65"/>
  <c r="W67" i="65" s="1"/>
  <c r="Y66" i="65"/>
  <c r="V66" i="65"/>
  <c r="U66" i="65"/>
  <c r="O66" i="65"/>
  <c r="W66" i="65" s="1"/>
  <c r="Y65" i="65"/>
  <c r="V65" i="65"/>
  <c r="U65" i="65"/>
  <c r="O65" i="65"/>
  <c r="Y64" i="65"/>
  <c r="X64" i="65"/>
  <c r="V64" i="65"/>
  <c r="U64" i="65"/>
  <c r="O64" i="65"/>
  <c r="W64" i="65" s="1"/>
  <c r="Y63" i="65"/>
  <c r="X63" i="65"/>
  <c r="U63" i="65"/>
  <c r="O63" i="65"/>
  <c r="W63" i="65" s="1"/>
  <c r="V63" i="65"/>
  <c r="Y62" i="65"/>
  <c r="X62" i="65"/>
  <c r="U62" i="65"/>
  <c r="V62" i="65"/>
  <c r="Y61" i="65"/>
  <c r="X61" i="65"/>
  <c r="W61" i="65"/>
  <c r="U61" i="65"/>
  <c r="N61" i="65"/>
  <c r="V61" i="65" s="1"/>
  <c r="Y60" i="65"/>
  <c r="X60" i="65"/>
  <c r="W60" i="65"/>
  <c r="U60" i="65"/>
  <c r="N60" i="65"/>
  <c r="V60" i="65" s="1"/>
  <c r="Q70" i="66" l="1"/>
  <c r="V70" i="66"/>
  <c r="O54" i="70"/>
  <c r="T56" i="69"/>
  <c r="T55" i="69"/>
  <c r="O74" i="66"/>
  <c r="W74" i="66" s="1"/>
  <c r="Y70" i="66"/>
  <c r="Z64" i="65"/>
  <c r="P65" i="65"/>
  <c r="R65" i="65" s="1"/>
  <c r="O75" i="65"/>
  <c r="W65" i="65"/>
  <c r="P76" i="65"/>
  <c r="L60" i="70"/>
  <c r="O55" i="70"/>
  <c r="O53" i="70"/>
  <c r="O57" i="70"/>
  <c r="S53" i="70"/>
  <c r="L61" i="69"/>
  <c r="P56" i="69"/>
  <c r="U56" i="69"/>
  <c r="P54" i="69"/>
  <c r="P58" i="69"/>
  <c r="U55" i="69"/>
  <c r="W55" i="69" s="1"/>
  <c r="T54" i="69"/>
  <c r="P57" i="69"/>
  <c r="L62" i="68"/>
  <c r="P59" i="68"/>
  <c r="U59" i="68"/>
  <c r="W59" i="68" s="1"/>
  <c r="P56" i="68"/>
  <c r="U56" i="68"/>
  <c r="W56" i="68" s="1"/>
  <c r="T55" i="68"/>
  <c r="W55" i="68" s="1"/>
  <c r="T58" i="68"/>
  <c r="N57" i="68"/>
  <c r="P57" i="68" s="1"/>
  <c r="P55" i="68"/>
  <c r="L77" i="66"/>
  <c r="Q76" i="66"/>
  <c r="N69" i="66"/>
  <c r="O73" i="66"/>
  <c r="Q69" i="66"/>
  <c r="P73" i="66"/>
  <c r="M67" i="66"/>
  <c r="Q73" i="66"/>
  <c r="M66" i="66"/>
  <c r="N68" i="66"/>
  <c r="U69" i="66"/>
  <c r="O72" i="66"/>
  <c r="O71" i="66"/>
  <c r="Q71" i="66" s="1"/>
  <c r="X68" i="65"/>
  <c r="P79" i="65"/>
  <c r="Q69" i="65"/>
  <c r="R69" i="65"/>
  <c r="X69" i="65"/>
  <c r="P80" i="65"/>
  <c r="N75" i="65"/>
  <c r="N72" i="65"/>
  <c r="N76" i="65"/>
  <c r="N77" i="65"/>
  <c r="N78" i="65"/>
  <c r="N79" i="65"/>
  <c r="N80" i="65"/>
  <c r="R71" i="65"/>
  <c r="M72" i="65"/>
  <c r="Z62" i="65"/>
  <c r="Z61" i="65"/>
  <c r="Z63" i="65"/>
  <c r="R64" i="65"/>
  <c r="Q68" i="65"/>
  <c r="R68" i="65" s="1"/>
  <c r="O79" i="65"/>
  <c r="O80" i="65"/>
  <c r="X65" i="65"/>
  <c r="N74" i="65"/>
  <c r="P67" i="65"/>
  <c r="R67" i="65" s="1"/>
  <c r="W69" i="65"/>
  <c r="O74" i="65"/>
  <c r="O78" i="65"/>
  <c r="R62" i="65"/>
  <c r="R63" i="65"/>
  <c r="W68" i="65"/>
  <c r="O77" i="65"/>
  <c r="R61" i="65"/>
  <c r="P66" i="65"/>
  <c r="N73" i="65"/>
  <c r="O73" i="65"/>
  <c r="O76" i="65"/>
  <c r="P74" i="66" l="1"/>
  <c r="U53" i="70"/>
  <c r="U55" i="70"/>
  <c r="U54" i="70"/>
  <c r="L61" i="70"/>
  <c r="O56" i="70"/>
  <c r="U57" i="69"/>
  <c r="U58" i="69"/>
  <c r="L62" i="69"/>
  <c r="W56" i="69"/>
  <c r="W54" i="69"/>
  <c r="U58" i="68"/>
  <c r="P58" i="68"/>
  <c r="U57" i="68"/>
  <c r="L63" i="68"/>
  <c r="S26" i="67"/>
  <c r="L27" i="67"/>
  <c r="M27" i="67" s="1"/>
  <c r="X73" i="66"/>
  <c r="L78" i="66"/>
  <c r="U67" i="66"/>
  <c r="W72" i="66"/>
  <c r="Q72" i="66"/>
  <c r="W73" i="66"/>
  <c r="V69" i="66"/>
  <c r="W71" i="66"/>
  <c r="V68" i="66"/>
  <c r="Q68" i="66"/>
  <c r="N67" i="66"/>
  <c r="Q67" i="66" s="1"/>
  <c r="U66" i="66"/>
  <c r="Q66" i="66"/>
  <c r="Y68" i="65"/>
  <c r="Q79" i="65"/>
  <c r="M73" i="65"/>
  <c r="R72" i="65"/>
  <c r="Z68" i="65"/>
  <c r="Z65" i="65"/>
  <c r="Y69" i="65"/>
  <c r="Q80" i="65"/>
  <c r="P77" i="65"/>
  <c r="X66" i="65"/>
  <c r="R66" i="65"/>
  <c r="X67" i="65"/>
  <c r="P78" i="65"/>
  <c r="X74" i="66" l="1"/>
  <c r="Q74" i="66"/>
  <c r="U57" i="70"/>
  <c r="L62" i="70"/>
  <c r="U56" i="70"/>
  <c r="W58" i="69"/>
  <c r="L63" i="69"/>
  <c r="W57" i="69"/>
  <c r="W57" i="68"/>
  <c r="L64" i="68"/>
  <c r="W58" i="68"/>
  <c r="S27" i="67"/>
  <c r="L28" i="67"/>
  <c r="M28" i="67" s="1"/>
  <c r="T26" i="67"/>
  <c r="P26" i="67"/>
  <c r="Y73" i="66"/>
  <c r="V67" i="66"/>
  <c r="Y71" i="66"/>
  <c r="L79" i="66"/>
  <c r="Y68" i="66"/>
  <c r="Y66" i="66"/>
  <c r="Y72" i="66"/>
  <c r="Y69" i="66"/>
  <c r="Z66" i="65"/>
  <c r="Z69" i="65"/>
  <c r="R73" i="65"/>
  <c r="M74" i="65"/>
  <c r="Z67" i="65"/>
  <c r="Y74" i="66" l="1"/>
  <c r="Y67" i="66"/>
  <c r="L63" i="70"/>
  <c r="L64" i="69"/>
  <c r="L65" i="68"/>
  <c r="T27" i="67"/>
  <c r="N28" i="67"/>
  <c r="P28" i="67" s="1"/>
  <c r="L29" i="67"/>
  <c r="M29" i="67" s="1"/>
  <c r="S28" i="67"/>
  <c r="N27" i="67"/>
  <c r="P27" i="67" s="1"/>
  <c r="W26" i="67"/>
  <c r="L80" i="66"/>
  <c r="M75" i="65"/>
  <c r="R74" i="65"/>
  <c r="L66" i="68" l="1"/>
  <c r="L30" i="67"/>
  <c r="M30" i="67" s="1"/>
  <c r="S29" i="67"/>
  <c r="T28" i="67"/>
  <c r="U28" i="67"/>
  <c r="U27" i="67"/>
  <c r="L81" i="66"/>
  <c r="M76" i="65"/>
  <c r="R75" i="65"/>
  <c r="T29" i="67" l="1"/>
  <c r="N29" i="67"/>
  <c r="N30" i="67"/>
  <c r="P30" i="67" s="1"/>
  <c r="S30" i="67"/>
  <c r="W27" i="67"/>
  <c r="W28" i="67"/>
  <c r="L82" i="66"/>
  <c r="R76" i="65"/>
  <c r="M77" i="65"/>
  <c r="U30" i="67" l="1"/>
  <c r="U29" i="67"/>
  <c r="P29" i="67"/>
  <c r="T30" i="67"/>
  <c r="L83" i="66"/>
  <c r="R77" i="65"/>
  <c r="M78" i="65"/>
  <c r="W30" i="67" l="1"/>
  <c r="W29" i="67"/>
  <c r="L84" i="66"/>
  <c r="R78" i="65"/>
  <c r="M79" i="65"/>
  <c r="L85" i="66" l="1"/>
  <c r="R79" i="65"/>
  <c r="M80" i="65"/>
  <c r="R80" i="65" s="1"/>
  <c r="B4" i="64" l="1"/>
  <c r="Q19" i="2" l="1"/>
  <c r="Q26" i="2" s="1"/>
  <c r="Q18" i="2"/>
  <c r="Q31" i="2" s="1"/>
  <c r="Q37" i="2" s="1"/>
  <c r="Q43" i="2" s="1"/>
  <c r="Q49" i="2" s="1"/>
  <c r="Q54" i="2" s="1"/>
  <c r="Q61" i="2" s="1"/>
  <c r="N86" i="64"/>
  <c r="L91" i="64" s="1"/>
  <c r="J86" i="64"/>
  <c r="H86" i="64"/>
  <c r="P85" i="64"/>
  <c r="R85" i="64" s="1"/>
  <c r="P84" i="64"/>
  <c r="R84" i="64" s="1"/>
  <c r="P83" i="64"/>
  <c r="R83" i="64" s="1"/>
  <c r="P82" i="64"/>
  <c r="R82" i="64" s="1"/>
  <c r="P81" i="64"/>
  <c r="R81" i="64" s="1"/>
  <c r="P80" i="64"/>
  <c r="R80" i="64" s="1"/>
  <c r="P79" i="64"/>
  <c r="R79" i="64" s="1"/>
  <c r="L78" i="64"/>
  <c r="P78" i="64" s="1"/>
  <c r="R78" i="64" s="1"/>
  <c r="F78" i="64"/>
  <c r="L77" i="64"/>
  <c r="P77" i="64" s="1"/>
  <c r="R77" i="64" s="1"/>
  <c r="F77" i="64"/>
  <c r="P76" i="64"/>
  <c r="R76" i="64" s="1"/>
  <c r="P75" i="64"/>
  <c r="R75" i="64" s="1"/>
  <c r="P74" i="64"/>
  <c r="R74" i="64" s="1"/>
  <c r="P73" i="64"/>
  <c r="R73" i="64" s="1"/>
  <c r="F73" i="64"/>
  <c r="L72" i="64"/>
  <c r="P72" i="64" s="1"/>
  <c r="R72" i="64" s="1"/>
  <c r="F72" i="64"/>
  <c r="P71" i="64"/>
  <c r="R71" i="64" s="1"/>
  <c r="P70" i="64"/>
  <c r="R70" i="64" s="1"/>
  <c r="P69" i="64"/>
  <c r="R69" i="64" s="1"/>
  <c r="P68" i="64"/>
  <c r="R68" i="64" s="1"/>
  <c r="L67" i="64"/>
  <c r="F67" i="64"/>
  <c r="P66" i="64"/>
  <c r="R66" i="64" s="1"/>
  <c r="F66" i="64"/>
  <c r="P65" i="64"/>
  <c r="R65" i="64" s="1"/>
  <c r="P64" i="64"/>
  <c r="R64" i="64" s="1"/>
  <c r="P63" i="64"/>
  <c r="R63" i="64" s="1"/>
  <c r="P62" i="64"/>
  <c r="R62" i="64" s="1"/>
  <c r="P61" i="64"/>
  <c r="F60" i="64"/>
  <c r="P46" i="64"/>
  <c r="J33" i="64"/>
  <c r="P32" i="64"/>
  <c r="R32" i="64" s="1"/>
  <c r="P31" i="64"/>
  <c r="R31" i="64" s="1"/>
  <c r="P30" i="64"/>
  <c r="R30" i="64" s="1"/>
  <c r="P29" i="64"/>
  <c r="R29" i="64" s="1"/>
  <c r="P28" i="64"/>
  <c r="R28" i="64" s="1"/>
  <c r="P27" i="64"/>
  <c r="R27" i="64" s="1"/>
  <c r="P26" i="64"/>
  <c r="R26" i="64" s="1"/>
  <c r="L25" i="64"/>
  <c r="P25" i="64" s="1"/>
  <c r="H25" i="64"/>
  <c r="R25" i="64" s="1"/>
  <c r="F25" i="64"/>
  <c r="L24" i="64"/>
  <c r="P24" i="64" s="1"/>
  <c r="R24" i="64" s="1"/>
  <c r="H24" i="64"/>
  <c r="F24" i="64"/>
  <c r="P23" i="64"/>
  <c r="R23" i="64" s="1"/>
  <c r="P22" i="64"/>
  <c r="R22" i="64" s="1"/>
  <c r="P21" i="64"/>
  <c r="R21" i="64" s="1"/>
  <c r="P20" i="64"/>
  <c r="R20" i="64" s="1"/>
  <c r="N20" i="64"/>
  <c r="P19" i="64"/>
  <c r="R19" i="64" s="1"/>
  <c r="P18" i="64"/>
  <c r="R18" i="64" s="1"/>
  <c r="P17" i="64"/>
  <c r="L17" i="64"/>
  <c r="H17" i="64"/>
  <c r="R17" i="64" s="1"/>
  <c r="F17" i="64"/>
  <c r="P16" i="64"/>
  <c r="R16" i="64" s="1"/>
  <c r="N15" i="64"/>
  <c r="L15" i="64"/>
  <c r="P15" i="64" s="1"/>
  <c r="H15" i="64"/>
  <c r="R15" i="64" s="1"/>
  <c r="F15" i="64"/>
  <c r="N14" i="64"/>
  <c r="P14" i="64" s="1"/>
  <c r="H14" i="64"/>
  <c r="R14" i="64" s="1"/>
  <c r="F14" i="64"/>
  <c r="R13" i="64"/>
  <c r="P13" i="64"/>
  <c r="P12" i="64"/>
  <c r="R12" i="64" s="1"/>
  <c r="P11" i="64"/>
  <c r="R11" i="64" s="1"/>
  <c r="P10" i="64"/>
  <c r="R10" i="64" s="1"/>
  <c r="L9" i="64"/>
  <c r="P9" i="64" s="1"/>
  <c r="H9" i="64"/>
  <c r="F8" i="64"/>
  <c r="F33" i="64" s="1"/>
  <c r="D41" i="23"/>
  <c r="C41" i="23"/>
  <c r="Q25" i="2" l="1"/>
  <c r="N33" i="64"/>
  <c r="P36" i="64" s="1"/>
  <c r="P48" i="64" s="1"/>
  <c r="P33" i="64"/>
  <c r="P50" i="64" s="1"/>
  <c r="L86" i="64"/>
  <c r="L90" i="64" s="1"/>
  <c r="L92" i="64" s="1"/>
  <c r="F86" i="64"/>
  <c r="R9" i="64"/>
  <c r="R33" i="64" s="1"/>
  <c r="H33" i="64"/>
  <c r="R61" i="64"/>
  <c r="L33" i="64"/>
  <c r="P67" i="64"/>
  <c r="R67" i="64" s="1"/>
  <c r="R86" i="64" l="1"/>
  <c r="P86" i="64"/>
  <c r="C36" i="23" l="1"/>
  <c r="C27" i="23"/>
  <c r="C16" i="23"/>
  <c r="C22" i="23" s="1"/>
  <c r="B16" i="23"/>
  <c r="C21" i="23" s="1"/>
  <c r="H21" i="3"/>
  <c r="H27" i="62"/>
  <c r="AM84" i="58"/>
  <c r="AN84" i="58"/>
  <c r="AO84" i="58"/>
  <c r="AM85" i="58"/>
  <c r="AN85" i="58"/>
  <c r="AO85" i="58"/>
  <c r="AN83" i="58"/>
  <c r="AM83" i="58"/>
  <c r="AO83" i="58" s="1"/>
  <c r="AN80" i="58"/>
  <c r="AN79" i="58"/>
  <c r="AN78" i="58"/>
  <c r="AN77" i="58"/>
  <c r="AM8" i="58"/>
  <c r="AN8" i="58"/>
  <c r="AM9" i="58"/>
  <c r="AN9" i="58"/>
  <c r="AM10" i="58"/>
  <c r="AN10" i="58"/>
  <c r="AM11" i="58"/>
  <c r="AN11" i="58"/>
  <c r="AM12" i="58"/>
  <c r="AN12" i="58"/>
  <c r="AM13" i="58"/>
  <c r="AM73" i="58" s="1"/>
  <c r="AN13" i="58"/>
  <c r="AN73" i="58" s="1"/>
  <c r="AM14" i="58"/>
  <c r="AN14" i="58"/>
  <c r="AM15" i="58"/>
  <c r="AN15" i="58"/>
  <c r="AM16" i="58"/>
  <c r="AN16" i="58"/>
  <c r="AM17" i="58"/>
  <c r="AN17" i="58"/>
  <c r="AM18" i="58"/>
  <c r="AN18" i="58"/>
  <c r="AM19" i="58"/>
  <c r="AO19" i="58" s="1"/>
  <c r="AN19" i="58"/>
  <c r="AM20" i="58"/>
  <c r="AN20" i="58"/>
  <c r="AM21" i="58"/>
  <c r="AN21" i="58"/>
  <c r="AM22" i="58"/>
  <c r="AN22" i="58"/>
  <c r="AM23" i="58"/>
  <c r="AN23" i="58"/>
  <c r="AM24" i="58"/>
  <c r="AN24" i="58"/>
  <c r="AM25" i="58"/>
  <c r="AO25" i="58" s="1"/>
  <c r="AN25" i="58"/>
  <c r="AM26" i="58"/>
  <c r="AN26" i="58"/>
  <c r="AM27" i="58"/>
  <c r="AN27" i="58"/>
  <c r="AM28" i="58"/>
  <c r="AN28" i="58"/>
  <c r="AM29" i="58"/>
  <c r="AN29" i="58"/>
  <c r="AM30" i="58"/>
  <c r="AN30" i="58"/>
  <c r="AM31" i="58"/>
  <c r="AO31" i="58" s="1"/>
  <c r="AN31" i="58"/>
  <c r="AM32" i="58"/>
  <c r="AN32" i="58"/>
  <c r="AM33" i="58"/>
  <c r="AN33" i="58"/>
  <c r="AM34" i="58"/>
  <c r="AN34" i="58"/>
  <c r="AM35" i="58"/>
  <c r="AN35" i="58"/>
  <c r="AM36" i="58"/>
  <c r="AN36" i="58"/>
  <c r="AM37" i="58"/>
  <c r="AO37" i="58" s="1"/>
  <c r="AN37" i="58"/>
  <c r="AM38" i="58"/>
  <c r="AN38" i="58"/>
  <c r="AM39" i="58"/>
  <c r="AN39" i="58"/>
  <c r="AM40" i="58"/>
  <c r="AN40" i="58"/>
  <c r="AM41" i="58"/>
  <c r="AN41" i="58"/>
  <c r="AM42" i="58"/>
  <c r="AN42" i="58"/>
  <c r="AM43" i="58"/>
  <c r="AO43" i="58" s="1"/>
  <c r="AN43" i="58"/>
  <c r="AM44" i="58"/>
  <c r="AN44" i="58"/>
  <c r="AM45" i="58"/>
  <c r="AN45" i="58"/>
  <c r="AM46" i="58"/>
  <c r="AN46" i="58"/>
  <c r="AM47" i="58"/>
  <c r="AN47" i="58"/>
  <c r="AM48" i="58"/>
  <c r="AN48" i="58"/>
  <c r="AM49" i="58"/>
  <c r="AO49" i="58" s="1"/>
  <c r="AN49" i="58"/>
  <c r="AM50" i="58"/>
  <c r="AN50" i="58"/>
  <c r="AM51" i="58"/>
  <c r="AN51" i="58"/>
  <c r="AM52" i="58"/>
  <c r="AN52" i="58"/>
  <c r="AM53" i="58"/>
  <c r="AN53" i="58"/>
  <c r="AM54" i="58"/>
  <c r="AN54" i="58"/>
  <c r="AM55" i="58"/>
  <c r="AO55" i="58" s="1"/>
  <c r="AN55" i="58"/>
  <c r="AM56" i="58"/>
  <c r="AN56" i="58"/>
  <c r="AM57" i="58"/>
  <c r="AN57" i="58"/>
  <c r="AM58" i="58"/>
  <c r="AN58" i="58"/>
  <c r="AM59" i="58"/>
  <c r="AN59" i="58"/>
  <c r="AM60" i="58"/>
  <c r="AN60" i="58"/>
  <c r="AM61" i="58"/>
  <c r="AO61" i="58" s="1"/>
  <c r="AN61" i="58"/>
  <c r="AM62" i="58"/>
  <c r="AN62" i="58"/>
  <c r="AM63" i="58"/>
  <c r="AN63" i="58"/>
  <c r="AM64" i="58"/>
  <c r="AN64" i="58"/>
  <c r="AM65" i="58"/>
  <c r="AN65" i="58"/>
  <c r="AM66" i="58"/>
  <c r="AN66" i="58"/>
  <c r="AM67" i="58"/>
  <c r="AO67" i="58" s="1"/>
  <c r="AN67" i="58"/>
  <c r="AM68" i="58"/>
  <c r="AN68" i="58"/>
  <c r="AM69" i="58"/>
  <c r="AN69" i="58"/>
  <c r="AM70" i="58"/>
  <c r="AN70" i="58"/>
  <c r="AM71" i="58"/>
  <c r="AN71" i="58"/>
  <c r="AN7" i="58"/>
  <c r="AM7" i="58"/>
  <c r="AP73" i="58"/>
  <c r="AO71" i="58"/>
  <c r="AO70" i="58"/>
  <c r="AO69" i="58"/>
  <c r="AO68" i="58"/>
  <c r="AO66" i="58"/>
  <c r="AO65" i="58"/>
  <c r="AO64" i="58"/>
  <c r="AO63" i="58"/>
  <c r="AO62" i="58"/>
  <c r="AO60" i="58"/>
  <c r="AO59" i="58"/>
  <c r="AO58" i="58"/>
  <c r="AO57" i="58"/>
  <c r="AO56" i="58"/>
  <c r="AO54" i="58"/>
  <c r="AO53" i="58"/>
  <c r="AO52" i="58"/>
  <c r="AO51" i="58"/>
  <c r="AO50" i="58"/>
  <c r="AO48" i="58"/>
  <c r="AO47" i="58"/>
  <c r="AO46" i="58"/>
  <c r="AO45" i="58"/>
  <c r="AO44" i="58"/>
  <c r="AO42" i="58"/>
  <c r="AO41" i="58"/>
  <c r="AO40" i="58"/>
  <c r="AO39" i="58"/>
  <c r="AO38" i="58"/>
  <c r="AO36" i="58"/>
  <c r="AO35" i="58"/>
  <c r="AO34" i="58"/>
  <c r="AO33" i="58"/>
  <c r="AO32" i="58"/>
  <c r="AO30" i="58"/>
  <c r="AO29" i="58"/>
  <c r="AO28" i="58"/>
  <c r="AO27" i="58"/>
  <c r="AO26" i="58"/>
  <c r="AO24" i="58"/>
  <c r="AO23" i="58"/>
  <c r="AO22" i="58"/>
  <c r="AO21" i="58"/>
  <c r="AO20" i="58"/>
  <c r="AO18" i="58"/>
  <c r="AO17" i="58"/>
  <c r="AO16" i="58"/>
  <c r="AO15" i="58"/>
  <c r="AO14" i="58"/>
  <c r="AO12" i="58"/>
  <c r="AO11" i="58"/>
  <c r="AO10" i="58"/>
  <c r="AO9" i="58"/>
  <c r="AO7" i="58"/>
  <c r="H68" i="62"/>
  <c r="E67" i="62"/>
  <c r="E69" i="62" s="1"/>
  <c r="C67" i="62"/>
  <c r="H66" i="62"/>
  <c r="H65" i="62"/>
  <c r="G64" i="62"/>
  <c r="G67" i="62" s="1"/>
  <c r="G69" i="62" s="1"/>
  <c r="F64" i="62"/>
  <c r="F67" i="62" s="1"/>
  <c r="F69" i="62" s="1"/>
  <c r="E64" i="62"/>
  <c r="C64" i="62"/>
  <c r="H63" i="62"/>
  <c r="H62" i="62"/>
  <c r="H61" i="62"/>
  <c r="H60" i="62"/>
  <c r="A60" i="62"/>
  <c r="A61" i="62" s="1"/>
  <c r="A62" i="62" s="1"/>
  <c r="H59" i="62"/>
  <c r="H58" i="62"/>
  <c r="H57" i="62"/>
  <c r="H56" i="62"/>
  <c r="H55" i="62"/>
  <c r="H54" i="62"/>
  <c r="A54" i="62"/>
  <c r="A55" i="62" s="1"/>
  <c r="A56" i="62" s="1"/>
  <c r="A57" i="62" s="1"/>
  <c r="A58" i="62" s="1"/>
  <c r="H53" i="62"/>
  <c r="H52" i="62"/>
  <c r="A52" i="62"/>
  <c r="H51" i="62"/>
  <c r="H50" i="62"/>
  <c r="H49" i="62"/>
  <c r="H48" i="62"/>
  <c r="H64" i="62" s="1"/>
  <c r="H67" i="62" s="1"/>
  <c r="H69" i="62" s="1"/>
  <c r="H40" i="62"/>
  <c r="H39" i="62"/>
  <c r="H35" i="62"/>
  <c r="H23" i="62"/>
  <c r="H22" i="62"/>
  <c r="H24" i="62" s="1"/>
  <c r="H19" i="62" s="1"/>
  <c r="H16" i="62"/>
  <c r="H8" i="62"/>
  <c r="H7" i="62"/>
  <c r="H9" i="62" s="1"/>
  <c r="D42" i="61"/>
  <c r="C42" i="61"/>
  <c r="G41" i="61"/>
  <c r="J41" i="61" s="1"/>
  <c r="F41" i="61"/>
  <c r="I41" i="61" s="1"/>
  <c r="G40" i="61"/>
  <c r="J40" i="61" s="1"/>
  <c r="F40" i="61"/>
  <c r="I40" i="61" s="1"/>
  <c r="G39" i="61"/>
  <c r="J39" i="61" s="1"/>
  <c r="F39" i="61"/>
  <c r="I39" i="61" s="1"/>
  <c r="G38" i="61"/>
  <c r="G42" i="61" s="1"/>
  <c r="F38" i="61"/>
  <c r="F42" i="61" s="1"/>
  <c r="G43" i="61" s="1"/>
  <c r="D32" i="61"/>
  <c r="C32" i="61"/>
  <c r="G31" i="61"/>
  <c r="J31" i="61" s="1"/>
  <c r="F31" i="61"/>
  <c r="I31" i="61" s="1"/>
  <c r="G30" i="61"/>
  <c r="J30" i="61" s="1"/>
  <c r="F30" i="61"/>
  <c r="I30" i="61" s="1"/>
  <c r="G29" i="61"/>
  <c r="J29" i="61" s="1"/>
  <c r="F29" i="61"/>
  <c r="I29" i="61" s="1"/>
  <c r="G28" i="61"/>
  <c r="G32" i="61" s="1"/>
  <c r="F28" i="61"/>
  <c r="F32" i="61" s="1"/>
  <c r="D22" i="61"/>
  <c r="C22" i="61"/>
  <c r="G21" i="61"/>
  <c r="J21" i="61" s="1"/>
  <c r="F21" i="61"/>
  <c r="I21" i="61" s="1"/>
  <c r="G20" i="61"/>
  <c r="J20" i="61" s="1"/>
  <c r="F20" i="61"/>
  <c r="I20" i="61" s="1"/>
  <c r="G19" i="61"/>
  <c r="J19" i="61" s="1"/>
  <c r="F19" i="61"/>
  <c r="I19" i="61" s="1"/>
  <c r="G18" i="61"/>
  <c r="G22" i="61" s="1"/>
  <c r="F18" i="61"/>
  <c r="F22" i="61" s="1"/>
  <c r="G23" i="61" s="1"/>
  <c r="D12" i="61"/>
  <c r="C12" i="61"/>
  <c r="G11" i="61"/>
  <c r="J11" i="61" s="1"/>
  <c r="F11" i="61"/>
  <c r="I11" i="61" s="1"/>
  <c r="G10" i="61"/>
  <c r="J10" i="61" s="1"/>
  <c r="F10" i="61"/>
  <c r="I10" i="61" s="1"/>
  <c r="G9" i="61"/>
  <c r="J9" i="61" s="1"/>
  <c r="F9" i="61"/>
  <c r="I9" i="61" s="1"/>
  <c r="G8" i="61"/>
  <c r="G12" i="61" s="1"/>
  <c r="F8" i="61"/>
  <c r="F12" i="61" s="1"/>
  <c r="G13" i="61" s="1"/>
  <c r="B37" i="23" l="1"/>
  <c r="D36" i="23"/>
  <c r="D38" i="23" s="1"/>
  <c r="AO13" i="58"/>
  <c r="AO8" i="58"/>
  <c r="AO73" i="58" s="1"/>
  <c r="H41" i="62"/>
  <c r="G33" i="61"/>
  <c r="I8" i="61"/>
  <c r="I12" i="61" s="1"/>
  <c r="I18" i="61"/>
  <c r="I22" i="61" s="1"/>
  <c r="I28" i="61"/>
  <c r="I32" i="61" s="1"/>
  <c r="I38" i="61"/>
  <c r="I42" i="61" s="1"/>
  <c r="J8" i="61"/>
  <c r="J12" i="61" s="1"/>
  <c r="J18" i="61"/>
  <c r="J22" i="61" s="1"/>
  <c r="J28" i="61"/>
  <c r="J32" i="61" s="1"/>
  <c r="J38" i="61"/>
  <c r="J42" i="61" s="1"/>
  <c r="D42" i="23" l="1"/>
  <c r="D43" i="23" s="1"/>
  <c r="H25" i="3" s="1"/>
  <c r="C42" i="23"/>
  <c r="C43" i="23" s="1"/>
  <c r="H24" i="3" s="1"/>
  <c r="J43" i="61"/>
  <c r="J23" i="61"/>
  <c r="J13" i="61"/>
  <c r="J33" i="61"/>
  <c r="AE101" i="58" l="1"/>
  <c r="AC101" i="58"/>
  <c r="AG101" i="58" s="1"/>
  <c r="Z101" i="58"/>
  <c r="Y101" i="58"/>
  <c r="W101" i="58"/>
  <c r="AA101" i="58" s="1"/>
  <c r="T101" i="58"/>
  <c r="S101" i="58"/>
  <c r="R101" i="58"/>
  <c r="P101" i="58"/>
  <c r="L101" i="58"/>
  <c r="K101" i="58"/>
  <c r="AF101" i="58" s="1"/>
  <c r="I101" i="58"/>
  <c r="M101" i="58" s="1"/>
  <c r="AF100" i="58"/>
  <c r="AE100" i="58"/>
  <c r="AD100" i="58"/>
  <c r="AH100" i="58" s="1"/>
  <c r="AC100" i="58"/>
  <c r="AG100" i="58" s="1"/>
  <c r="AA100" i="58"/>
  <c r="Z100" i="58"/>
  <c r="T100" i="58"/>
  <c r="S100" i="58"/>
  <c r="M100" i="58"/>
  <c r="L100" i="58"/>
  <c r="AF99" i="58"/>
  <c r="AE99" i="58"/>
  <c r="AD99" i="58"/>
  <c r="AH99" i="58" s="1"/>
  <c r="AC99" i="58"/>
  <c r="AG99" i="58" s="1"/>
  <c r="AA99" i="58"/>
  <c r="Z99" i="58"/>
  <c r="T99" i="58"/>
  <c r="S99" i="58"/>
  <c r="M99" i="58"/>
  <c r="L99" i="58"/>
  <c r="AF98" i="58"/>
  <c r="AE98" i="58"/>
  <c r="AD98" i="58"/>
  <c r="AH98" i="58" s="1"/>
  <c r="AC98" i="58"/>
  <c r="AG98" i="58" s="1"/>
  <c r="AA98" i="58"/>
  <c r="Z98" i="58"/>
  <c r="T98" i="58"/>
  <c r="S98" i="58"/>
  <c r="M98" i="58"/>
  <c r="L98" i="58"/>
  <c r="K85" i="58"/>
  <c r="J85" i="58"/>
  <c r="H85" i="58"/>
  <c r="J84" i="58"/>
  <c r="H84" i="58"/>
  <c r="H86" i="58" s="1"/>
  <c r="K83" i="58"/>
  <c r="J83" i="58"/>
  <c r="J86" i="58" s="1"/>
  <c r="H83" i="58"/>
  <c r="K81" i="58"/>
  <c r="J81" i="58"/>
  <c r="AJ80" i="58"/>
  <c r="H80" i="58"/>
  <c r="M79" i="58"/>
  <c r="M78" i="58"/>
  <c r="H77" i="58"/>
  <c r="AM77" i="58" s="1"/>
  <c r="X73" i="58"/>
  <c r="V73" i="58"/>
  <c r="Q73" i="58"/>
  <c r="O73" i="58"/>
  <c r="J73" i="58"/>
  <c r="J88" i="58" s="1"/>
  <c r="H73" i="58"/>
  <c r="AF72" i="58"/>
  <c r="AE72" i="58"/>
  <c r="AD72" i="58"/>
  <c r="AH72" i="58" s="1"/>
  <c r="AC72" i="58"/>
  <c r="AG72" i="58" s="1"/>
  <c r="AA72" i="58"/>
  <c r="Z72" i="58"/>
  <c r="S72" i="58"/>
  <c r="L72" i="58"/>
  <c r="AG71" i="58"/>
  <c r="AE71" i="58"/>
  <c r="AC71" i="58"/>
  <c r="Z71" i="58"/>
  <c r="Y71" i="58"/>
  <c r="W71" i="58"/>
  <c r="AA71" i="58" s="1"/>
  <c r="T71" i="58"/>
  <c r="S71" i="58"/>
  <c r="R71" i="58"/>
  <c r="P71" i="58"/>
  <c r="L71" i="58"/>
  <c r="K71" i="58"/>
  <c r="AF71" i="58" s="1"/>
  <c r="I71" i="58"/>
  <c r="M71" i="58" s="1"/>
  <c r="AE70" i="58"/>
  <c r="AC70" i="58"/>
  <c r="AG70" i="58" s="1"/>
  <c r="AA70" i="58"/>
  <c r="Z70" i="58"/>
  <c r="Y70" i="58"/>
  <c r="W70" i="58"/>
  <c r="S70" i="58"/>
  <c r="R70" i="58"/>
  <c r="P70" i="58"/>
  <c r="T70" i="58" s="1"/>
  <c r="L70" i="58"/>
  <c r="K70" i="58"/>
  <c r="AF70" i="58" s="1"/>
  <c r="I70" i="58"/>
  <c r="M70" i="58" s="1"/>
  <c r="AG69" i="58"/>
  <c r="AE69" i="58"/>
  <c r="AC69" i="58"/>
  <c r="Z69" i="58"/>
  <c r="Y69" i="58"/>
  <c r="W69" i="58"/>
  <c r="AA69" i="58" s="1"/>
  <c r="T69" i="58"/>
  <c r="S69" i="58"/>
  <c r="R69" i="58"/>
  <c r="P69" i="58"/>
  <c r="L69" i="58"/>
  <c r="K69" i="58"/>
  <c r="AF69" i="58" s="1"/>
  <c r="I69" i="58"/>
  <c r="M69" i="58" s="1"/>
  <c r="AE68" i="58"/>
  <c r="AC68" i="58"/>
  <c r="AG68" i="58" s="1"/>
  <c r="AA68" i="58"/>
  <c r="Z68" i="58"/>
  <c r="Y68" i="58"/>
  <c r="W68" i="58"/>
  <c r="S68" i="58"/>
  <c r="R68" i="58"/>
  <c r="P68" i="58"/>
  <c r="T68" i="58" s="1"/>
  <c r="L68" i="58"/>
  <c r="K68" i="58"/>
  <c r="AF68" i="58" s="1"/>
  <c r="I68" i="58"/>
  <c r="M68" i="58" s="1"/>
  <c r="AG67" i="58"/>
  <c r="AE67" i="58"/>
  <c r="AC67" i="58"/>
  <c r="Z67" i="58"/>
  <c r="Y67" i="58"/>
  <c r="W67" i="58"/>
  <c r="AA67" i="58" s="1"/>
  <c r="T67" i="58"/>
  <c r="S67" i="58"/>
  <c r="R67" i="58"/>
  <c r="P67" i="58"/>
  <c r="L67" i="58"/>
  <c r="K67" i="58"/>
  <c r="AF67" i="58" s="1"/>
  <c r="I67" i="58"/>
  <c r="M67" i="58" s="1"/>
  <c r="AE66" i="58"/>
  <c r="AC66" i="58"/>
  <c r="AG66" i="58" s="1"/>
  <c r="AA66" i="58"/>
  <c r="Z66" i="58"/>
  <c r="Y66" i="58"/>
  <c r="W66" i="58"/>
  <c r="S66" i="58"/>
  <c r="R66" i="58"/>
  <c r="P66" i="58"/>
  <c r="T66" i="58" s="1"/>
  <c r="L66" i="58"/>
  <c r="K66" i="58"/>
  <c r="AF66" i="58" s="1"/>
  <c r="I66" i="58"/>
  <c r="M66" i="58" s="1"/>
  <c r="AG65" i="58"/>
  <c r="AE65" i="58"/>
  <c r="AC65" i="58"/>
  <c r="Z65" i="58"/>
  <c r="Y65" i="58"/>
  <c r="W65" i="58"/>
  <c r="AA65" i="58" s="1"/>
  <c r="T65" i="58"/>
  <c r="S65" i="58"/>
  <c r="R65" i="58"/>
  <c r="P65" i="58"/>
  <c r="L65" i="58"/>
  <c r="K65" i="58"/>
  <c r="AF65" i="58" s="1"/>
  <c r="I65" i="58"/>
  <c r="M65" i="58" s="1"/>
  <c r="AE64" i="58"/>
  <c r="AC64" i="58"/>
  <c r="AG64" i="58" s="1"/>
  <c r="AA64" i="58"/>
  <c r="Z64" i="58"/>
  <c r="Y64" i="58"/>
  <c r="W64" i="58"/>
  <c r="S64" i="58"/>
  <c r="R64" i="58"/>
  <c r="P64" i="58"/>
  <c r="T64" i="58" s="1"/>
  <c r="L64" i="58"/>
  <c r="K64" i="58"/>
  <c r="AF64" i="58" s="1"/>
  <c r="I64" i="58"/>
  <c r="M64" i="58" s="1"/>
  <c r="AG63" i="58"/>
  <c r="AE63" i="58"/>
  <c r="AC63" i="58"/>
  <c r="Z63" i="58"/>
  <c r="Y63" i="58"/>
  <c r="W63" i="58"/>
  <c r="AA63" i="58" s="1"/>
  <c r="T63" i="58"/>
  <c r="S63" i="58"/>
  <c r="R63" i="58"/>
  <c r="P63" i="58"/>
  <c r="L63" i="58"/>
  <c r="K63" i="58"/>
  <c r="AF63" i="58" s="1"/>
  <c r="I63" i="58"/>
  <c r="M63" i="58" s="1"/>
  <c r="AE62" i="58"/>
  <c r="AC62" i="58"/>
  <c r="AG62" i="58" s="1"/>
  <c r="AA62" i="58"/>
  <c r="Z62" i="58"/>
  <c r="Y62" i="58"/>
  <c r="W62" i="58"/>
  <c r="S62" i="58"/>
  <c r="R62" i="58"/>
  <c r="P62" i="58"/>
  <c r="T62" i="58" s="1"/>
  <c r="L62" i="58"/>
  <c r="K62" i="58"/>
  <c r="AF62" i="58" s="1"/>
  <c r="I62" i="58"/>
  <c r="M62" i="58" s="1"/>
  <c r="AG61" i="58"/>
  <c r="AE61" i="58"/>
  <c r="AC61" i="58"/>
  <c r="Z61" i="58"/>
  <c r="Y61" i="58"/>
  <c r="W61" i="58"/>
  <c r="AA61" i="58" s="1"/>
  <c r="T61" i="58"/>
  <c r="S61" i="58"/>
  <c r="R61" i="58"/>
  <c r="P61" i="58"/>
  <c r="L61" i="58"/>
  <c r="K61" i="58"/>
  <c r="AF61" i="58" s="1"/>
  <c r="I61" i="58"/>
  <c r="M61" i="58" s="1"/>
  <c r="AE60" i="58"/>
  <c r="AC60" i="58"/>
  <c r="AG60" i="58" s="1"/>
  <c r="AA60" i="58"/>
  <c r="Z60" i="58"/>
  <c r="Y60" i="58"/>
  <c r="W60" i="58"/>
  <c r="S60" i="58"/>
  <c r="R60" i="58"/>
  <c r="P60" i="58"/>
  <c r="T60" i="58" s="1"/>
  <c r="L60" i="58"/>
  <c r="K60" i="58"/>
  <c r="AF60" i="58" s="1"/>
  <c r="I60" i="58"/>
  <c r="M60" i="58" s="1"/>
  <c r="AG59" i="58"/>
  <c r="AE59" i="58"/>
  <c r="AC59" i="58"/>
  <c r="Z59" i="58"/>
  <c r="Y59" i="58"/>
  <c r="W59" i="58"/>
  <c r="AA59" i="58" s="1"/>
  <c r="T59" i="58"/>
  <c r="S59" i="58"/>
  <c r="R59" i="58"/>
  <c r="P59" i="58"/>
  <c r="L59" i="58"/>
  <c r="K59" i="58"/>
  <c r="AF59" i="58" s="1"/>
  <c r="I59" i="58"/>
  <c r="M59" i="58" s="1"/>
  <c r="AE58" i="58"/>
  <c r="AC58" i="58"/>
  <c r="AG58" i="58" s="1"/>
  <c r="AA58" i="58"/>
  <c r="Z58" i="58"/>
  <c r="Y58" i="58"/>
  <c r="W58" i="58"/>
  <c r="S58" i="58"/>
  <c r="R58" i="58"/>
  <c r="P58" i="58"/>
  <c r="T58" i="58" s="1"/>
  <c r="L58" i="58"/>
  <c r="K58" i="58"/>
  <c r="AF58" i="58" s="1"/>
  <c r="I58" i="58"/>
  <c r="M58" i="58" s="1"/>
  <c r="AG57" i="58"/>
  <c r="AE57" i="58"/>
  <c r="AC57" i="58"/>
  <c r="Z57" i="58"/>
  <c r="Y57" i="58"/>
  <c r="W57" i="58"/>
  <c r="AA57" i="58" s="1"/>
  <c r="T57" i="58"/>
  <c r="S57" i="58"/>
  <c r="R57" i="58"/>
  <c r="P57" i="58"/>
  <c r="L57" i="58"/>
  <c r="K57" i="58"/>
  <c r="AF57" i="58" s="1"/>
  <c r="I57" i="58"/>
  <c r="M57" i="58" s="1"/>
  <c r="AE56" i="58"/>
  <c r="AC56" i="58"/>
  <c r="AG56" i="58" s="1"/>
  <c r="AA56" i="58"/>
  <c r="Z56" i="58"/>
  <c r="Y56" i="58"/>
  <c r="W56" i="58"/>
  <c r="S56" i="58"/>
  <c r="R56" i="58"/>
  <c r="P56" i="58"/>
  <c r="T56" i="58" s="1"/>
  <c r="L56" i="58"/>
  <c r="K56" i="58"/>
  <c r="AF56" i="58" s="1"/>
  <c r="I56" i="58"/>
  <c r="M56" i="58" s="1"/>
  <c r="AG55" i="58"/>
  <c r="AE55" i="58"/>
  <c r="AC55" i="58"/>
  <c r="Z55" i="58"/>
  <c r="Y55" i="58"/>
  <c r="AA55" i="58" s="1"/>
  <c r="W55" i="58"/>
  <c r="T55" i="58"/>
  <c r="S55" i="58"/>
  <c r="R55" i="58"/>
  <c r="P55" i="58"/>
  <c r="L55" i="58"/>
  <c r="K55" i="58"/>
  <c r="AF55" i="58" s="1"/>
  <c r="I55" i="58"/>
  <c r="M55" i="58" s="1"/>
  <c r="AE54" i="58"/>
  <c r="AC54" i="58"/>
  <c r="AG54" i="58" s="1"/>
  <c r="AA54" i="58"/>
  <c r="Z54" i="58"/>
  <c r="Y54" i="58"/>
  <c r="W54" i="58"/>
  <c r="T54" i="58"/>
  <c r="S54" i="58"/>
  <c r="R54" i="58"/>
  <c r="P54" i="58"/>
  <c r="L54" i="58"/>
  <c r="K54" i="58"/>
  <c r="AF54" i="58" s="1"/>
  <c r="I54" i="58"/>
  <c r="M54" i="58" s="1"/>
  <c r="AG53" i="58"/>
  <c r="AE53" i="58"/>
  <c r="AC53" i="58"/>
  <c r="Z53" i="58"/>
  <c r="Y53" i="58"/>
  <c r="AA53" i="58" s="1"/>
  <c r="W53" i="58"/>
  <c r="T53" i="58"/>
  <c r="S53" i="58"/>
  <c r="R53" i="58"/>
  <c r="P53" i="58"/>
  <c r="L53" i="58"/>
  <c r="K53" i="58"/>
  <c r="AF53" i="58" s="1"/>
  <c r="I53" i="58"/>
  <c r="M53" i="58" s="1"/>
  <c r="AE52" i="58"/>
  <c r="AC52" i="58"/>
  <c r="AG52" i="58" s="1"/>
  <c r="AA52" i="58"/>
  <c r="Z52" i="58"/>
  <c r="Y52" i="58"/>
  <c r="W52" i="58"/>
  <c r="T52" i="58"/>
  <c r="S52" i="58"/>
  <c r="R52" i="58"/>
  <c r="P52" i="58"/>
  <c r="L52" i="58"/>
  <c r="K52" i="58"/>
  <c r="AF52" i="58" s="1"/>
  <c r="I52" i="58"/>
  <c r="M52" i="58" s="1"/>
  <c r="AG51" i="58"/>
  <c r="AE51" i="58"/>
  <c r="AC51" i="58"/>
  <c r="Z51" i="58"/>
  <c r="Y51" i="58"/>
  <c r="AA51" i="58" s="1"/>
  <c r="W51" i="58"/>
  <c r="T51" i="58"/>
  <c r="S51" i="58"/>
  <c r="R51" i="58"/>
  <c r="P51" i="58"/>
  <c r="L51" i="58"/>
  <c r="K51" i="58"/>
  <c r="AF51" i="58" s="1"/>
  <c r="I51" i="58"/>
  <c r="M51" i="58" s="1"/>
  <c r="AE50" i="58"/>
  <c r="AC50" i="58"/>
  <c r="AG50" i="58" s="1"/>
  <c r="AA50" i="58"/>
  <c r="Z50" i="58"/>
  <c r="Y50" i="58"/>
  <c r="W50" i="58"/>
  <c r="T50" i="58"/>
  <c r="S50" i="58"/>
  <c r="R50" i="58"/>
  <c r="P50" i="58"/>
  <c r="L50" i="58"/>
  <c r="K50" i="58"/>
  <c r="AF50" i="58" s="1"/>
  <c r="I50" i="58"/>
  <c r="M50" i="58" s="1"/>
  <c r="AG49" i="58"/>
  <c r="AE49" i="58"/>
  <c r="AC49" i="58"/>
  <c r="Z49" i="58"/>
  <c r="Y49" i="58"/>
  <c r="AA49" i="58" s="1"/>
  <c r="W49" i="58"/>
  <c r="T49" i="58"/>
  <c r="S49" i="58"/>
  <c r="R49" i="58"/>
  <c r="P49" i="58"/>
  <c r="L49" i="58"/>
  <c r="K49" i="58"/>
  <c r="AF49" i="58" s="1"/>
  <c r="I49" i="58"/>
  <c r="M49" i="58" s="1"/>
  <c r="AE48" i="58"/>
  <c r="AC48" i="58"/>
  <c r="AG48" i="58" s="1"/>
  <c r="AA48" i="58"/>
  <c r="Z48" i="58"/>
  <c r="Y48" i="58"/>
  <c r="W48" i="58"/>
  <c r="T48" i="58"/>
  <c r="S48" i="58"/>
  <c r="R48" i="58"/>
  <c r="P48" i="58"/>
  <c r="L48" i="58"/>
  <c r="K48" i="58"/>
  <c r="AF48" i="58" s="1"/>
  <c r="I48" i="58"/>
  <c r="AD48" i="58" s="1"/>
  <c r="AH48" i="58" s="1"/>
  <c r="AG47" i="58"/>
  <c r="AE47" i="58"/>
  <c r="AC47" i="58"/>
  <c r="Z47" i="58"/>
  <c r="Y47" i="58"/>
  <c r="AA47" i="58" s="1"/>
  <c r="W47" i="58"/>
  <c r="T47" i="58"/>
  <c r="S47" i="58"/>
  <c r="R47" i="58"/>
  <c r="P47" i="58"/>
  <c r="L47" i="58"/>
  <c r="K47" i="58"/>
  <c r="AF47" i="58" s="1"/>
  <c r="I47" i="58"/>
  <c r="M47" i="58" s="1"/>
  <c r="AE46" i="58"/>
  <c r="AC46" i="58"/>
  <c r="AG46" i="58" s="1"/>
  <c r="AA46" i="58"/>
  <c r="Z46" i="58"/>
  <c r="Y46" i="58"/>
  <c r="W46" i="58"/>
  <c r="T46" i="58"/>
  <c r="S46" i="58"/>
  <c r="R46" i="58"/>
  <c r="P46" i="58"/>
  <c r="L46" i="58"/>
  <c r="K46" i="58"/>
  <c r="AF46" i="58" s="1"/>
  <c r="I46" i="58"/>
  <c r="AD46" i="58" s="1"/>
  <c r="AH46" i="58" s="1"/>
  <c r="AG45" i="58"/>
  <c r="AE45" i="58"/>
  <c r="AC45" i="58"/>
  <c r="Z45" i="58"/>
  <c r="Y45" i="58"/>
  <c r="AA45" i="58" s="1"/>
  <c r="W45" i="58"/>
  <c r="T45" i="58"/>
  <c r="S45" i="58"/>
  <c r="R45" i="58"/>
  <c r="P45" i="58"/>
  <c r="L45" i="58"/>
  <c r="K45" i="58"/>
  <c r="AF45" i="58" s="1"/>
  <c r="I45" i="58"/>
  <c r="M45" i="58" s="1"/>
  <c r="AE44" i="58"/>
  <c r="AC44" i="58"/>
  <c r="AG44" i="58" s="1"/>
  <c r="AA44" i="58"/>
  <c r="Z44" i="58"/>
  <c r="Y44" i="58"/>
  <c r="W44" i="58"/>
  <c r="T44" i="58"/>
  <c r="S44" i="58"/>
  <c r="R44" i="58"/>
  <c r="P44" i="58"/>
  <c r="L44" i="58"/>
  <c r="K44" i="58"/>
  <c r="AF44" i="58" s="1"/>
  <c r="I44" i="58"/>
  <c r="AD44" i="58" s="1"/>
  <c r="AG43" i="58"/>
  <c r="AE43" i="58"/>
  <c r="AC43" i="58"/>
  <c r="Z43" i="58"/>
  <c r="Y43" i="58"/>
  <c r="AA43" i="58" s="1"/>
  <c r="W43" i="58"/>
  <c r="T43" i="58"/>
  <c r="S43" i="58"/>
  <c r="R43" i="58"/>
  <c r="P43" i="58"/>
  <c r="L43" i="58"/>
  <c r="K43" i="58"/>
  <c r="AF43" i="58" s="1"/>
  <c r="I43" i="58"/>
  <c r="M43" i="58" s="1"/>
  <c r="AE42" i="58"/>
  <c r="AC42" i="58"/>
  <c r="AG42" i="58" s="1"/>
  <c r="AA42" i="58"/>
  <c r="Z42" i="58"/>
  <c r="Y42" i="58"/>
  <c r="W42" i="58"/>
  <c r="T42" i="58"/>
  <c r="S42" i="58"/>
  <c r="R42" i="58"/>
  <c r="P42" i="58"/>
  <c r="L42" i="58"/>
  <c r="K42" i="58"/>
  <c r="AF42" i="58" s="1"/>
  <c r="I42" i="58"/>
  <c r="AD42" i="58" s="1"/>
  <c r="AG41" i="58"/>
  <c r="AE41" i="58"/>
  <c r="AC41" i="58"/>
  <c r="Z41" i="58"/>
  <c r="Y41" i="58"/>
  <c r="W41" i="58"/>
  <c r="AA41" i="58" s="1"/>
  <c r="T41" i="58"/>
  <c r="S41" i="58"/>
  <c r="R41" i="58"/>
  <c r="P41" i="58"/>
  <c r="L41" i="58"/>
  <c r="K41" i="58"/>
  <c r="AF41" i="58" s="1"/>
  <c r="I41" i="58"/>
  <c r="M41" i="58" s="1"/>
  <c r="AE40" i="58"/>
  <c r="AC40" i="58"/>
  <c r="AG40" i="58" s="1"/>
  <c r="AA40" i="58"/>
  <c r="Z40" i="58"/>
  <c r="Y40" i="58"/>
  <c r="W40" i="58"/>
  <c r="T40" i="58"/>
  <c r="S40" i="58"/>
  <c r="R40" i="58"/>
  <c r="P40" i="58"/>
  <c r="L40" i="58"/>
  <c r="K40" i="58"/>
  <c r="AF40" i="58" s="1"/>
  <c r="I40" i="58"/>
  <c r="AD40" i="58" s="1"/>
  <c r="AH40" i="58" s="1"/>
  <c r="AG39" i="58"/>
  <c r="AE39" i="58"/>
  <c r="AC39" i="58"/>
  <c r="Z39" i="58"/>
  <c r="Y39" i="58"/>
  <c r="W39" i="58"/>
  <c r="AA39" i="58" s="1"/>
  <c r="T39" i="58"/>
  <c r="S39" i="58"/>
  <c r="R39" i="58"/>
  <c r="P39" i="58"/>
  <c r="L39" i="58"/>
  <c r="K39" i="58"/>
  <c r="AF39" i="58" s="1"/>
  <c r="I39" i="58"/>
  <c r="M39" i="58" s="1"/>
  <c r="AE38" i="58"/>
  <c r="AC38" i="58"/>
  <c r="AG38" i="58" s="1"/>
  <c r="AA38" i="58"/>
  <c r="Z38" i="58"/>
  <c r="Y38" i="58"/>
  <c r="W38" i="58"/>
  <c r="T38" i="58"/>
  <c r="S38" i="58"/>
  <c r="R38" i="58"/>
  <c r="P38" i="58"/>
  <c r="L38" i="58"/>
  <c r="K38" i="58"/>
  <c r="AF38" i="58" s="1"/>
  <c r="I38" i="58"/>
  <c r="AD38" i="58" s="1"/>
  <c r="AH38" i="58" s="1"/>
  <c r="AG37" i="58"/>
  <c r="AE37" i="58"/>
  <c r="AC37" i="58"/>
  <c r="Z37" i="58"/>
  <c r="Y37" i="58"/>
  <c r="W37" i="58"/>
  <c r="AA37" i="58" s="1"/>
  <c r="T37" i="58"/>
  <c r="S37" i="58"/>
  <c r="R37" i="58"/>
  <c r="P37" i="58"/>
  <c r="L37" i="58"/>
  <c r="K37" i="58"/>
  <c r="AF37" i="58" s="1"/>
  <c r="I37" i="58"/>
  <c r="M37" i="58" s="1"/>
  <c r="AE36" i="58"/>
  <c r="AC36" i="58"/>
  <c r="AG36" i="58" s="1"/>
  <c r="AA36" i="58"/>
  <c r="Z36" i="58"/>
  <c r="Y36" i="58"/>
  <c r="W36" i="58"/>
  <c r="S36" i="58"/>
  <c r="R36" i="58"/>
  <c r="P36" i="58"/>
  <c r="T36" i="58" s="1"/>
  <c r="L36" i="58"/>
  <c r="K36" i="58"/>
  <c r="AF36" i="58" s="1"/>
  <c r="I36" i="58"/>
  <c r="AD36" i="58" s="1"/>
  <c r="AG35" i="58"/>
  <c r="AE35" i="58"/>
  <c r="AC35" i="58"/>
  <c r="Z35" i="58"/>
  <c r="Y35" i="58"/>
  <c r="W35" i="58"/>
  <c r="AA35" i="58" s="1"/>
  <c r="T35" i="58"/>
  <c r="S35" i="58"/>
  <c r="R35" i="58"/>
  <c r="P35" i="58"/>
  <c r="L35" i="58"/>
  <c r="K35" i="58"/>
  <c r="AF35" i="58" s="1"/>
  <c r="I35" i="58"/>
  <c r="M35" i="58" s="1"/>
  <c r="AE34" i="58"/>
  <c r="AC34" i="58"/>
  <c r="AG34" i="58" s="1"/>
  <c r="AA34" i="58"/>
  <c r="Z34" i="58"/>
  <c r="Y34" i="58"/>
  <c r="W34" i="58"/>
  <c r="S34" i="58"/>
  <c r="R34" i="58"/>
  <c r="P34" i="58"/>
  <c r="T34" i="58" s="1"/>
  <c r="L34" i="58"/>
  <c r="K34" i="58"/>
  <c r="AF34" i="58" s="1"/>
  <c r="I34" i="58"/>
  <c r="AD34" i="58" s="1"/>
  <c r="AH34" i="58" s="1"/>
  <c r="AG33" i="58"/>
  <c r="AE33" i="58"/>
  <c r="AC33" i="58"/>
  <c r="Z33" i="58"/>
  <c r="Y33" i="58"/>
  <c r="W33" i="58"/>
  <c r="AA33" i="58" s="1"/>
  <c r="T33" i="58"/>
  <c r="S33" i="58"/>
  <c r="R33" i="58"/>
  <c r="P33" i="58"/>
  <c r="L33" i="58"/>
  <c r="K33" i="58"/>
  <c r="AF33" i="58" s="1"/>
  <c r="I33" i="58"/>
  <c r="M33" i="58" s="1"/>
  <c r="AE32" i="58"/>
  <c r="AC32" i="58"/>
  <c r="AG32" i="58" s="1"/>
  <c r="AA32" i="58"/>
  <c r="Z32" i="58"/>
  <c r="Y32" i="58"/>
  <c r="W32" i="58"/>
  <c r="S32" i="58"/>
  <c r="R32" i="58"/>
  <c r="P32" i="58"/>
  <c r="T32" i="58" s="1"/>
  <c r="L32" i="58"/>
  <c r="K32" i="58"/>
  <c r="AF32" i="58" s="1"/>
  <c r="I32" i="58"/>
  <c r="AD32" i="58" s="1"/>
  <c r="AH32" i="58" s="1"/>
  <c r="AG31" i="58"/>
  <c r="AE31" i="58"/>
  <c r="AC31" i="58"/>
  <c r="Z31" i="58"/>
  <c r="Y31" i="58"/>
  <c r="AA31" i="58" s="1"/>
  <c r="W31" i="58"/>
  <c r="T31" i="58"/>
  <c r="M85" i="58" s="1"/>
  <c r="S31" i="58"/>
  <c r="L85" i="58" s="1"/>
  <c r="R31" i="58"/>
  <c r="P31" i="58"/>
  <c r="I85" i="58" s="1"/>
  <c r="L31" i="58"/>
  <c r="K31" i="58"/>
  <c r="AF31" i="58" s="1"/>
  <c r="I31" i="58"/>
  <c r="M31" i="58" s="1"/>
  <c r="AE30" i="58"/>
  <c r="AC30" i="58"/>
  <c r="AG30" i="58" s="1"/>
  <c r="AA30" i="58"/>
  <c r="Z30" i="58"/>
  <c r="Y30" i="58"/>
  <c r="W30" i="58"/>
  <c r="S30" i="58"/>
  <c r="R30" i="58"/>
  <c r="P30" i="58"/>
  <c r="T30" i="58" s="1"/>
  <c r="L30" i="58"/>
  <c r="K30" i="58"/>
  <c r="AF30" i="58" s="1"/>
  <c r="I30" i="58"/>
  <c r="M30" i="58" s="1"/>
  <c r="AG29" i="58"/>
  <c r="AE29" i="58"/>
  <c r="AC29" i="58"/>
  <c r="Z29" i="58"/>
  <c r="Y29" i="58"/>
  <c r="AA29" i="58" s="1"/>
  <c r="W29" i="58"/>
  <c r="S29" i="58"/>
  <c r="R29" i="58"/>
  <c r="T29" i="58" s="1"/>
  <c r="P29" i="58"/>
  <c r="L29" i="58"/>
  <c r="K29" i="58"/>
  <c r="AF29" i="58" s="1"/>
  <c r="I29" i="58"/>
  <c r="M29" i="58" s="1"/>
  <c r="AE28" i="58"/>
  <c r="AC28" i="58"/>
  <c r="AG28" i="58" s="1"/>
  <c r="AA28" i="58"/>
  <c r="Z28" i="58"/>
  <c r="Y28" i="58"/>
  <c r="W28" i="58"/>
  <c r="S28" i="58"/>
  <c r="R28" i="58"/>
  <c r="P28" i="58"/>
  <c r="T28" i="58" s="1"/>
  <c r="L28" i="58"/>
  <c r="K28" i="58"/>
  <c r="AF28" i="58" s="1"/>
  <c r="I28" i="58"/>
  <c r="AD28" i="58" s="1"/>
  <c r="AH28" i="58" s="1"/>
  <c r="AG27" i="58"/>
  <c r="AE27" i="58"/>
  <c r="AC27" i="58"/>
  <c r="Z27" i="58"/>
  <c r="Y27" i="58"/>
  <c r="AA27" i="58" s="1"/>
  <c r="W27" i="58"/>
  <c r="S27" i="58"/>
  <c r="R27" i="58"/>
  <c r="T27" i="58" s="1"/>
  <c r="P27" i="58"/>
  <c r="L27" i="58"/>
  <c r="K27" i="58"/>
  <c r="AF27" i="58" s="1"/>
  <c r="I27" i="58"/>
  <c r="M27" i="58" s="1"/>
  <c r="AE26" i="58"/>
  <c r="AC26" i="58"/>
  <c r="AG26" i="58" s="1"/>
  <c r="AA26" i="58"/>
  <c r="Z26" i="58"/>
  <c r="Y26" i="58"/>
  <c r="W26" i="58"/>
  <c r="S26" i="58"/>
  <c r="R26" i="58"/>
  <c r="P26" i="58"/>
  <c r="T26" i="58" s="1"/>
  <c r="L26" i="58"/>
  <c r="K26" i="58"/>
  <c r="AF26" i="58" s="1"/>
  <c r="I26" i="58"/>
  <c r="AD26" i="58" s="1"/>
  <c r="AH26" i="58" s="1"/>
  <c r="AG25" i="58"/>
  <c r="AE25" i="58"/>
  <c r="AC25" i="58"/>
  <c r="Z25" i="58"/>
  <c r="Y25" i="58"/>
  <c r="AA25" i="58" s="1"/>
  <c r="W25" i="58"/>
  <c r="S25" i="58"/>
  <c r="R25" i="58"/>
  <c r="T25" i="58" s="1"/>
  <c r="P25" i="58"/>
  <c r="L25" i="58"/>
  <c r="K25" i="58"/>
  <c r="AF25" i="58" s="1"/>
  <c r="I25" i="58"/>
  <c r="M25" i="58" s="1"/>
  <c r="AE24" i="58"/>
  <c r="AC24" i="58"/>
  <c r="AG24" i="58" s="1"/>
  <c r="AA24" i="58"/>
  <c r="Z24" i="58"/>
  <c r="Y24" i="58"/>
  <c r="W24" i="58"/>
  <c r="S24" i="58"/>
  <c r="R24" i="58"/>
  <c r="P24" i="58"/>
  <c r="T24" i="58" s="1"/>
  <c r="L24" i="58"/>
  <c r="K24" i="58"/>
  <c r="AF24" i="58" s="1"/>
  <c r="I24" i="58"/>
  <c r="M24" i="58" s="1"/>
  <c r="AG23" i="58"/>
  <c r="AE23" i="58"/>
  <c r="AC23" i="58"/>
  <c r="Z23" i="58"/>
  <c r="Y23" i="58"/>
  <c r="AA23" i="58" s="1"/>
  <c r="W23" i="58"/>
  <c r="S23" i="58"/>
  <c r="R23" i="58"/>
  <c r="T23" i="58" s="1"/>
  <c r="P23" i="58"/>
  <c r="L23" i="58"/>
  <c r="K23" i="58"/>
  <c r="AF23" i="58" s="1"/>
  <c r="I23" i="58"/>
  <c r="M23" i="58" s="1"/>
  <c r="AE22" i="58"/>
  <c r="AC22" i="58"/>
  <c r="AG22" i="58" s="1"/>
  <c r="AA22" i="58"/>
  <c r="Z22" i="58"/>
  <c r="Y22" i="58"/>
  <c r="W22" i="58"/>
  <c r="S22" i="58"/>
  <c r="R22" i="58"/>
  <c r="P22" i="58"/>
  <c r="T22" i="58" s="1"/>
  <c r="L22" i="58"/>
  <c r="K22" i="58"/>
  <c r="AF22" i="58" s="1"/>
  <c r="I22" i="58"/>
  <c r="AD22" i="58" s="1"/>
  <c r="AH22" i="58" s="1"/>
  <c r="AG21" i="58"/>
  <c r="AE21" i="58"/>
  <c r="AC21" i="58"/>
  <c r="Z21" i="58"/>
  <c r="Y21" i="58"/>
  <c r="AA21" i="58" s="1"/>
  <c r="W21" i="58"/>
  <c r="S21" i="58"/>
  <c r="R21" i="58"/>
  <c r="T21" i="58" s="1"/>
  <c r="P21" i="58"/>
  <c r="L21" i="58"/>
  <c r="K21" i="58"/>
  <c r="AF21" i="58" s="1"/>
  <c r="I21" i="58"/>
  <c r="M21" i="58" s="1"/>
  <c r="AE20" i="58"/>
  <c r="AC20" i="58"/>
  <c r="AG20" i="58" s="1"/>
  <c r="AA20" i="58"/>
  <c r="Z20" i="58"/>
  <c r="Y20" i="58"/>
  <c r="W20" i="58"/>
  <c r="S20" i="58"/>
  <c r="R20" i="58"/>
  <c r="P20" i="58"/>
  <c r="T20" i="58" s="1"/>
  <c r="L20" i="58"/>
  <c r="K20" i="58"/>
  <c r="AF20" i="58" s="1"/>
  <c r="I20" i="58"/>
  <c r="AD20" i="58" s="1"/>
  <c r="AH20" i="58" s="1"/>
  <c r="AG19" i="58"/>
  <c r="AE19" i="58"/>
  <c r="AC19" i="58"/>
  <c r="Z19" i="58"/>
  <c r="Y19" i="58"/>
  <c r="AA19" i="58" s="1"/>
  <c r="W19" i="58"/>
  <c r="S19" i="58"/>
  <c r="L84" i="58" s="1"/>
  <c r="R19" i="58"/>
  <c r="AF19" i="58" s="1"/>
  <c r="P19" i="58"/>
  <c r="I84" i="58" s="1"/>
  <c r="L19" i="58"/>
  <c r="K19" i="58"/>
  <c r="I19" i="58"/>
  <c r="M19" i="58" s="1"/>
  <c r="AE18" i="58"/>
  <c r="AC18" i="58"/>
  <c r="AG18" i="58" s="1"/>
  <c r="AA18" i="58"/>
  <c r="Z18" i="58"/>
  <c r="Y18" i="58"/>
  <c r="W18" i="58"/>
  <c r="S18" i="58"/>
  <c r="L83" i="58" s="1"/>
  <c r="L86" i="58" s="1"/>
  <c r="R18" i="58"/>
  <c r="P18" i="58"/>
  <c r="I83" i="58" s="1"/>
  <c r="I86" i="58" s="1"/>
  <c r="L18" i="58"/>
  <c r="K18" i="58"/>
  <c r="AF18" i="58" s="1"/>
  <c r="I18" i="58"/>
  <c r="AD18" i="58" s="1"/>
  <c r="AH18" i="58" s="1"/>
  <c r="AG17" i="58"/>
  <c r="AE17" i="58"/>
  <c r="AC17" i="58"/>
  <c r="Z17" i="58"/>
  <c r="Y17" i="58"/>
  <c r="AA17" i="58" s="1"/>
  <c r="W17" i="58"/>
  <c r="S17" i="58"/>
  <c r="R17" i="58"/>
  <c r="AF17" i="58" s="1"/>
  <c r="P17" i="58"/>
  <c r="T17" i="58" s="1"/>
  <c r="L17" i="58"/>
  <c r="K17" i="58"/>
  <c r="I17" i="58"/>
  <c r="M17" i="58" s="1"/>
  <c r="AE16" i="58"/>
  <c r="AC16" i="58"/>
  <c r="AG16" i="58" s="1"/>
  <c r="AA16" i="58"/>
  <c r="Z16" i="58"/>
  <c r="Y16" i="58"/>
  <c r="W16" i="58"/>
  <c r="S16" i="58"/>
  <c r="R16" i="58"/>
  <c r="P16" i="58"/>
  <c r="T16" i="58" s="1"/>
  <c r="L16" i="58"/>
  <c r="K16" i="58"/>
  <c r="AF16" i="58" s="1"/>
  <c r="I16" i="58"/>
  <c r="AD16" i="58" s="1"/>
  <c r="AH16" i="58" s="1"/>
  <c r="AG15" i="58"/>
  <c r="AE15" i="58"/>
  <c r="AC15" i="58"/>
  <c r="Z15" i="58"/>
  <c r="Y15" i="58"/>
  <c r="AA15" i="58" s="1"/>
  <c r="W15" i="58"/>
  <c r="S15" i="58"/>
  <c r="R15" i="58"/>
  <c r="AF15" i="58" s="1"/>
  <c r="P15" i="58"/>
  <c r="T15" i="58" s="1"/>
  <c r="M15" i="58"/>
  <c r="L15" i="58"/>
  <c r="K15" i="58"/>
  <c r="I15" i="58"/>
  <c r="AD15" i="58" s="1"/>
  <c r="AH15" i="58" s="1"/>
  <c r="AE14" i="58"/>
  <c r="AC14" i="58"/>
  <c r="AG14" i="58" s="1"/>
  <c r="AA14" i="58"/>
  <c r="Z14" i="58"/>
  <c r="Y14" i="58"/>
  <c r="W14" i="58"/>
  <c r="S14" i="58"/>
  <c r="R14" i="58"/>
  <c r="P14" i="58"/>
  <c r="T14" i="58" s="1"/>
  <c r="L14" i="58"/>
  <c r="K14" i="58"/>
  <c r="AF14" i="58" s="1"/>
  <c r="I14" i="58"/>
  <c r="M14" i="58" s="1"/>
  <c r="AG13" i="58"/>
  <c r="AE13" i="58"/>
  <c r="AC13" i="58"/>
  <c r="Z13" i="58"/>
  <c r="Y13" i="58"/>
  <c r="AA13" i="58" s="1"/>
  <c r="W13" i="58"/>
  <c r="S13" i="58"/>
  <c r="R13" i="58"/>
  <c r="AF13" i="58" s="1"/>
  <c r="P13" i="58"/>
  <c r="T13" i="58" s="1"/>
  <c r="M13" i="58"/>
  <c r="L13" i="58"/>
  <c r="K13" i="58"/>
  <c r="I13" i="58"/>
  <c r="AD13" i="58" s="1"/>
  <c r="AE12" i="58"/>
  <c r="AC12" i="58"/>
  <c r="AG12" i="58" s="1"/>
  <c r="Z12" i="58"/>
  <c r="Y12" i="58"/>
  <c r="AA12" i="58" s="1"/>
  <c r="W12" i="58"/>
  <c r="S12" i="58"/>
  <c r="R12" i="58"/>
  <c r="P12" i="58"/>
  <c r="T12" i="58" s="1"/>
  <c r="L12" i="58"/>
  <c r="K12" i="58"/>
  <c r="AF12" i="58" s="1"/>
  <c r="I12" i="58"/>
  <c r="M12" i="58" s="1"/>
  <c r="AG11" i="58"/>
  <c r="AE11" i="58"/>
  <c r="AC11" i="58"/>
  <c r="Z11" i="58"/>
  <c r="Y11" i="58"/>
  <c r="AA11" i="58" s="1"/>
  <c r="W11" i="58"/>
  <c r="S11" i="58"/>
  <c r="R11" i="58"/>
  <c r="AF11" i="58" s="1"/>
  <c r="P11" i="58"/>
  <c r="T11" i="58" s="1"/>
  <c r="M11" i="58"/>
  <c r="L11" i="58"/>
  <c r="K11" i="58"/>
  <c r="I11" i="58"/>
  <c r="AD11" i="58" s="1"/>
  <c r="AE10" i="58"/>
  <c r="AC10" i="58"/>
  <c r="AG10" i="58" s="1"/>
  <c r="Z10" i="58"/>
  <c r="Y10" i="58"/>
  <c r="AA10" i="58" s="1"/>
  <c r="W10" i="58"/>
  <c r="S10" i="58"/>
  <c r="R10" i="58"/>
  <c r="P10" i="58"/>
  <c r="T10" i="58" s="1"/>
  <c r="L10" i="58"/>
  <c r="K10" i="58"/>
  <c r="AF10" i="58" s="1"/>
  <c r="I10" i="58"/>
  <c r="AD10" i="58" s="1"/>
  <c r="AH10" i="58" s="1"/>
  <c r="AG9" i="58"/>
  <c r="AF9" i="58"/>
  <c r="AE9" i="58"/>
  <c r="AC9" i="58"/>
  <c r="Z9" i="58"/>
  <c r="Y9" i="58"/>
  <c r="AA9" i="58" s="1"/>
  <c r="W9" i="58"/>
  <c r="S9" i="58"/>
  <c r="R9" i="58"/>
  <c r="P9" i="58"/>
  <c r="T9" i="58" s="1"/>
  <c r="M9" i="58"/>
  <c r="L9" i="58"/>
  <c r="K9" i="58"/>
  <c r="I9" i="58"/>
  <c r="AD9" i="58" s="1"/>
  <c r="AH9" i="58" s="1"/>
  <c r="AE8" i="58"/>
  <c r="AC8" i="58"/>
  <c r="AG8" i="58" s="1"/>
  <c r="Z8" i="58"/>
  <c r="Y8" i="58"/>
  <c r="AA8" i="58" s="1"/>
  <c r="W8" i="58"/>
  <c r="S8" i="58"/>
  <c r="R8" i="58"/>
  <c r="P8" i="58"/>
  <c r="T8" i="58" s="1"/>
  <c r="L8" i="58"/>
  <c r="K8" i="58"/>
  <c r="AF8" i="58" s="1"/>
  <c r="I8" i="58"/>
  <c r="AD8" i="58" s="1"/>
  <c r="AG7" i="58"/>
  <c r="AE7" i="58"/>
  <c r="AE73" i="58" s="1"/>
  <c r="AC7" i="58"/>
  <c r="AC73" i="58" s="1"/>
  <c r="Z7" i="58"/>
  <c r="Z73" i="58" s="1"/>
  <c r="Y7" i="58"/>
  <c r="AA7" i="58" s="1"/>
  <c r="W7" i="58"/>
  <c r="W73" i="58" s="1"/>
  <c r="S7" i="58"/>
  <c r="S73" i="58" s="1"/>
  <c r="R7" i="58"/>
  <c r="R73" i="58" s="1"/>
  <c r="P7" i="58"/>
  <c r="P73" i="58" s="1"/>
  <c r="M7" i="58"/>
  <c r="L7" i="58"/>
  <c r="L73" i="58" s="1"/>
  <c r="K7" i="58"/>
  <c r="I7" i="58"/>
  <c r="I73" i="58" s="1"/>
  <c r="I81" i="58" l="1"/>
  <c r="L80" i="58"/>
  <c r="AM80" i="58"/>
  <c r="AO80" i="58" s="1"/>
  <c r="M80" i="58"/>
  <c r="AO77" i="58"/>
  <c r="M77" i="58"/>
  <c r="M81" i="58" s="1"/>
  <c r="H78" i="58"/>
  <c r="AH36" i="58"/>
  <c r="AH42" i="58"/>
  <c r="L77" i="58"/>
  <c r="AA73" i="58"/>
  <c r="AG73" i="58"/>
  <c r="I88" i="58"/>
  <c r="AH8" i="58"/>
  <c r="AH11" i="58"/>
  <c r="AH13" i="58"/>
  <c r="AH44" i="58"/>
  <c r="AD12" i="58"/>
  <c r="AH12" i="58" s="1"/>
  <c r="AD14" i="58"/>
  <c r="AH14" i="58" s="1"/>
  <c r="T19" i="58"/>
  <c r="M84" i="58" s="1"/>
  <c r="AD24" i="58"/>
  <c r="AH24" i="58" s="1"/>
  <c r="AD30" i="58"/>
  <c r="AH30" i="58" s="1"/>
  <c r="AD50" i="58"/>
  <c r="AH50" i="58" s="1"/>
  <c r="AD52" i="58"/>
  <c r="AH52" i="58" s="1"/>
  <c r="AD54" i="58"/>
  <c r="AH54" i="58" s="1"/>
  <c r="AD56" i="58"/>
  <c r="AH56" i="58" s="1"/>
  <c r="AD58" i="58"/>
  <c r="AH58" i="58" s="1"/>
  <c r="AD60" i="58"/>
  <c r="AH60" i="58" s="1"/>
  <c r="AD62" i="58"/>
  <c r="AH62" i="58" s="1"/>
  <c r="AD64" i="58"/>
  <c r="AH64" i="58" s="1"/>
  <c r="AD66" i="58"/>
  <c r="AH66" i="58" s="1"/>
  <c r="AD68" i="58"/>
  <c r="AH68" i="58" s="1"/>
  <c r="AD70" i="58"/>
  <c r="AH70" i="58" s="1"/>
  <c r="K73" i="58"/>
  <c r="Y73" i="58"/>
  <c r="M8" i="58"/>
  <c r="M73" i="58" s="1"/>
  <c r="M10" i="58"/>
  <c r="M16" i="58"/>
  <c r="M18" i="58"/>
  <c r="M20" i="58"/>
  <c r="M22" i="58"/>
  <c r="M26" i="58"/>
  <c r="M28" i="58"/>
  <c r="M32" i="58"/>
  <c r="M34" i="58"/>
  <c r="M36" i="58"/>
  <c r="M38" i="58"/>
  <c r="M40" i="58"/>
  <c r="M42" i="58"/>
  <c r="M44" i="58"/>
  <c r="M46" i="58"/>
  <c r="M48" i="58"/>
  <c r="T7" i="58"/>
  <c r="AF7" i="58"/>
  <c r="AF73" i="58" s="1"/>
  <c r="H79" i="58"/>
  <c r="K84" i="58"/>
  <c r="K86" i="58" s="1"/>
  <c r="AD19" i="58"/>
  <c r="AH19" i="58" s="1"/>
  <c r="AD21" i="58"/>
  <c r="AH21" i="58" s="1"/>
  <c r="AD23" i="58"/>
  <c r="AH23" i="58" s="1"/>
  <c r="AD25" i="58"/>
  <c r="AH25" i="58" s="1"/>
  <c r="AD27" i="58"/>
  <c r="AH27" i="58" s="1"/>
  <c r="AD29" i="58"/>
  <c r="AH29" i="58" s="1"/>
  <c r="AD31" i="58"/>
  <c r="AH31" i="58" s="1"/>
  <c r="AD33" i="58"/>
  <c r="AH33" i="58" s="1"/>
  <c r="AD35" i="58"/>
  <c r="AH35" i="58" s="1"/>
  <c r="AD37" i="58"/>
  <c r="AH37" i="58" s="1"/>
  <c r="AD39" i="58"/>
  <c r="AH39" i="58" s="1"/>
  <c r="AD41" i="58"/>
  <c r="AH41" i="58" s="1"/>
  <c r="AD43" i="58"/>
  <c r="AH43" i="58" s="1"/>
  <c r="AD45" i="58"/>
  <c r="AH45" i="58" s="1"/>
  <c r="AD47" i="58"/>
  <c r="AH47" i="58" s="1"/>
  <c r="AD49" i="58"/>
  <c r="AH49" i="58" s="1"/>
  <c r="AD51" i="58"/>
  <c r="AH51" i="58" s="1"/>
  <c r="AD53" i="58"/>
  <c r="AH53" i="58" s="1"/>
  <c r="AD55" i="58"/>
  <c r="AH55" i="58" s="1"/>
  <c r="AD57" i="58"/>
  <c r="AH57" i="58" s="1"/>
  <c r="AD59" i="58"/>
  <c r="AH59" i="58" s="1"/>
  <c r="AD61" i="58"/>
  <c r="AH61" i="58" s="1"/>
  <c r="AD63" i="58"/>
  <c r="AH63" i="58" s="1"/>
  <c r="AD65" i="58"/>
  <c r="AH65" i="58" s="1"/>
  <c r="AD67" i="58"/>
  <c r="AH67" i="58" s="1"/>
  <c r="AD69" i="58"/>
  <c r="AH69" i="58" s="1"/>
  <c r="AD71" i="58"/>
  <c r="AH71" i="58" s="1"/>
  <c r="AD101" i="58"/>
  <c r="AH101" i="58" s="1"/>
  <c r="AD7" i="58"/>
  <c r="AD17" i="58"/>
  <c r="AH17" i="58" s="1"/>
  <c r="T18" i="58"/>
  <c r="M83" i="58" s="1"/>
  <c r="L79" i="58" l="1"/>
  <c r="AM79" i="58"/>
  <c r="AO79" i="58" s="1"/>
  <c r="AM78" i="58"/>
  <c r="L78" i="58"/>
  <c r="H81" i="58"/>
  <c r="H88" i="58" s="1"/>
  <c r="AH7" i="58"/>
  <c r="AH73" i="58" s="1"/>
  <c r="AD73" i="58"/>
  <c r="L81" i="58"/>
  <c r="L88" i="58" s="1"/>
  <c r="K88" i="58"/>
  <c r="T73" i="58"/>
  <c r="M86" i="58"/>
  <c r="M88" i="58" s="1"/>
  <c r="M91" i="58" s="1"/>
  <c r="M93" i="58" l="1"/>
  <c r="H19" i="3" s="1"/>
  <c r="L19" i="3" s="1"/>
  <c r="C32" i="62"/>
  <c r="G6" i="53"/>
  <c r="AO78" i="58"/>
  <c r="AO81" i="58" s="1"/>
  <c r="AO87" i="58" s="1"/>
  <c r="H26" i="62" s="1"/>
  <c r="H28" i="62" s="1"/>
  <c r="H17" i="62" s="1"/>
  <c r="H18" i="62" s="1"/>
  <c r="H20" i="62" s="1"/>
  <c r="H22" i="3" s="1"/>
  <c r="AM81" i="58"/>
  <c r="AM87" i="58" s="1"/>
  <c r="N85" i="60"/>
  <c r="L90" i="60" s="1"/>
  <c r="L85" i="60"/>
  <c r="L89" i="60" s="1"/>
  <c r="L91" i="60" s="1"/>
  <c r="J85" i="60"/>
  <c r="H85" i="60"/>
  <c r="P84" i="60"/>
  <c r="R84" i="60" s="1"/>
  <c r="P83" i="60"/>
  <c r="R83" i="60" s="1"/>
  <c r="R82" i="60"/>
  <c r="P82" i="60"/>
  <c r="R81" i="60"/>
  <c r="P81" i="60"/>
  <c r="P80" i="60"/>
  <c r="R80" i="60" s="1"/>
  <c r="P79" i="60"/>
  <c r="R79" i="60" s="1"/>
  <c r="P78" i="60"/>
  <c r="R78" i="60" s="1"/>
  <c r="L77" i="60"/>
  <c r="P77" i="60" s="1"/>
  <c r="R77" i="60" s="1"/>
  <c r="F77" i="60"/>
  <c r="L76" i="60"/>
  <c r="P76" i="60" s="1"/>
  <c r="R76" i="60" s="1"/>
  <c r="F76" i="60"/>
  <c r="P75" i="60"/>
  <c r="R75" i="60" s="1"/>
  <c r="P74" i="60"/>
  <c r="R74" i="60" s="1"/>
  <c r="P73" i="60"/>
  <c r="R73" i="60" s="1"/>
  <c r="R72" i="60"/>
  <c r="P72" i="60"/>
  <c r="F72" i="60"/>
  <c r="L71" i="60"/>
  <c r="P71" i="60" s="1"/>
  <c r="R71" i="60" s="1"/>
  <c r="F71" i="60"/>
  <c r="P70" i="60"/>
  <c r="R70" i="60" s="1"/>
  <c r="P69" i="60"/>
  <c r="R69" i="60" s="1"/>
  <c r="P68" i="60"/>
  <c r="R68" i="60" s="1"/>
  <c r="P67" i="60"/>
  <c r="R67" i="60" s="1"/>
  <c r="L66" i="60"/>
  <c r="P66" i="60" s="1"/>
  <c r="R66" i="60" s="1"/>
  <c r="F66" i="60"/>
  <c r="P65" i="60"/>
  <c r="R65" i="60" s="1"/>
  <c r="F65" i="60"/>
  <c r="P64" i="60"/>
  <c r="R64" i="60" s="1"/>
  <c r="R63" i="60"/>
  <c r="P63" i="60"/>
  <c r="R62" i="60"/>
  <c r="P62" i="60"/>
  <c r="P61" i="60"/>
  <c r="R61" i="60" s="1"/>
  <c r="P60" i="60"/>
  <c r="F59" i="60"/>
  <c r="F85" i="60" s="1"/>
  <c r="P45" i="60"/>
  <c r="J32" i="60"/>
  <c r="P31" i="60"/>
  <c r="R31" i="60" s="1"/>
  <c r="P30" i="60"/>
  <c r="R30" i="60" s="1"/>
  <c r="R29" i="60"/>
  <c r="P29" i="60"/>
  <c r="R28" i="60"/>
  <c r="P28" i="60"/>
  <c r="P27" i="60"/>
  <c r="R27" i="60" s="1"/>
  <c r="P26" i="60"/>
  <c r="R26" i="60" s="1"/>
  <c r="P25" i="60"/>
  <c r="R25" i="60" s="1"/>
  <c r="L24" i="60"/>
  <c r="P24" i="60" s="1"/>
  <c r="R24" i="60" s="1"/>
  <c r="H24" i="60"/>
  <c r="F24" i="60"/>
  <c r="L23" i="60"/>
  <c r="P23" i="60" s="1"/>
  <c r="H23" i="60"/>
  <c r="R23" i="60" s="1"/>
  <c r="F23" i="60"/>
  <c r="P22" i="60"/>
  <c r="R22" i="60" s="1"/>
  <c r="P21" i="60"/>
  <c r="R21" i="60" s="1"/>
  <c r="R20" i="60"/>
  <c r="P20" i="60"/>
  <c r="N19" i="60"/>
  <c r="P19" i="60" s="1"/>
  <c r="R19" i="60" s="1"/>
  <c r="P18" i="60"/>
  <c r="R18" i="60" s="1"/>
  <c r="P17" i="60"/>
  <c r="R17" i="60" s="1"/>
  <c r="L16" i="60"/>
  <c r="P16" i="60" s="1"/>
  <c r="H16" i="60"/>
  <c r="R16" i="60" s="1"/>
  <c r="F16" i="60"/>
  <c r="R15" i="60"/>
  <c r="P15" i="60"/>
  <c r="N14" i="60"/>
  <c r="L14" i="60"/>
  <c r="P14" i="60" s="1"/>
  <c r="H14" i="60"/>
  <c r="F14" i="60"/>
  <c r="N13" i="60"/>
  <c r="N32" i="60" s="1"/>
  <c r="P35" i="60" s="1"/>
  <c r="P47" i="60" s="1"/>
  <c r="H13" i="60"/>
  <c r="F13" i="60"/>
  <c r="F32" i="60" s="1"/>
  <c r="P12" i="60"/>
  <c r="R12" i="60" s="1"/>
  <c r="P11" i="60"/>
  <c r="R11" i="60" s="1"/>
  <c r="P10" i="60"/>
  <c r="R10" i="60" s="1"/>
  <c r="P9" i="60"/>
  <c r="R9" i="60" s="1"/>
  <c r="P8" i="60"/>
  <c r="L8" i="60"/>
  <c r="L32" i="60" s="1"/>
  <c r="H8" i="60"/>
  <c r="H32" i="60" s="1"/>
  <c r="F7" i="60"/>
  <c r="L42" i="3"/>
  <c r="J15" i="59"/>
  <c r="F15" i="59"/>
  <c r="K34" i="62" l="1"/>
  <c r="K36" i="62" s="1"/>
  <c r="H32" i="62"/>
  <c r="C33" i="62"/>
  <c r="H33" i="62" s="1"/>
  <c r="J21" i="59"/>
  <c r="P85" i="60"/>
  <c r="R14" i="60"/>
  <c r="P13" i="60"/>
  <c r="R13" i="60" s="1"/>
  <c r="R8" i="60"/>
  <c r="R32" i="60" s="1"/>
  <c r="R60" i="60"/>
  <c r="R85" i="60" s="1"/>
  <c r="H34" i="62" l="1"/>
  <c r="H36" i="62" s="1"/>
  <c r="H23" i="3" s="1"/>
  <c r="P32" i="60"/>
  <c r="P49" i="60" s="1"/>
  <c r="I15" i="57" l="1"/>
  <c r="G19" i="15" s="1"/>
  <c r="H19" i="76" s="1"/>
  <c r="I133" i="57"/>
  <c r="I134" i="57" s="1"/>
  <c r="I21" i="57" s="1"/>
  <c r="I128" i="57"/>
  <c r="I129" i="57" s="1"/>
  <c r="I20" i="57" s="1"/>
  <c r="E124" i="57"/>
  <c r="I123" i="57"/>
  <c r="I124" i="57" s="1"/>
  <c r="I19" i="57" s="1"/>
  <c r="C118" i="57"/>
  <c r="E113" i="57"/>
  <c r="D113" i="57"/>
  <c r="E116" i="57" s="1"/>
  <c r="C112" i="57"/>
  <c r="H109" i="57" s="1"/>
  <c r="F110" i="57"/>
  <c r="G109" i="57"/>
  <c r="G112" i="57" s="1"/>
  <c r="F109" i="57"/>
  <c r="F112" i="57" s="1"/>
  <c r="C105" i="57"/>
  <c r="C104" i="57"/>
  <c r="C103" i="57"/>
  <c r="C102" i="57"/>
  <c r="E99" i="57"/>
  <c r="D99" i="57"/>
  <c r="E102" i="57" s="1"/>
  <c r="F95" i="57"/>
  <c r="I94" i="57"/>
  <c r="H94" i="57"/>
  <c r="H98" i="57" s="1"/>
  <c r="G94" i="57"/>
  <c r="G98" i="57" s="1"/>
  <c r="F94" i="57"/>
  <c r="F98" i="57" s="1"/>
  <c r="F85" i="57"/>
  <c r="E85" i="57"/>
  <c r="E87" i="57" s="1"/>
  <c r="C84" i="57"/>
  <c r="J80" i="57" s="1"/>
  <c r="G81" i="57"/>
  <c r="K81" i="57" s="1"/>
  <c r="I80" i="57"/>
  <c r="I84" i="57" s="1"/>
  <c r="H80" i="57"/>
  <c r="H83" i="57" s="1"/>
  <c r="G80" i="57"/>
  <c r="G84" i="57" s="1"/>
  <c r="C73" i="57"/>
  <c r="C72" i="57"/>
  <c r="C71" i="57"/>
  <c r="F69" i="57"/>
  <c r="E69" i="57"/>
  <c r="E71" i="57" s="1"/>
  <c r="C68" i="57"/>
  <c r="J64" i="57" s="1"/>
  <c r="G65" i="57"/>
  <c r="K65" i="57" s="1"/>
  <c r="I64" i="57"/>
  <c r="I68" i="57" s="1"/>
  <c r="H64" i="57"/>
  <c r="H67" i="57" s="1"/>
  <c r="G64" i="57"/>
  <c r="G66" i="57" s="1"/>
  <c r="C59" i="57"/>
  <c r="C58" i="57"/>
  <c r="C57" i="57"/>
  <c r="C56" i="57"/>
  <c r="E54" i="57"/>
  <c r="D54" i="57"/>
  <c r="E56" i="57" s="1"/>
  <c r="C53" i="57"/>
  <c r="C60" i="57" s="1"/>
  <c r="F49" i="57"/>
  <c r="I48" i="57"/>
  <c r="I53" i="57" s="1"/>
  <c r="H48" i="57"/>
  <c r="H52" i="57" s="1"/>
  <c r="G48" i="57"/>
  <c r="G53" i="57" s="1"/>
  <c r="F48" i="57"/>
  <c r="F51" i="57" s="1"/>
  <c r="C43" i="57"/>
  <c r="C42" i="57"/>
  <c r="C41" i="57"/>
  <c r="C40" i="57"/>
  <c r="E38" i="57"/>
  <c r="D38" i="57"/>
  <c r="E40" i="57" s="1"/>
  <c r="C37" i="57"/>
  <c r="J32" i="57" s="1"/>
  <c r="F33" i="57"/>
  <c r="K33" i="57" s="1"/>
  <c r="I32" i="57"/>
  <c r="I37" i="57" s="1"/>
  <c r="H32" i="57"/>
  <c r="H36" i="57" s="1"/>
  <c r="G32" i="57"/>
  <c r="G37" i="57" s="1"/>
  <c r="F32" i="57"/>
  <c r="F37" i="57" s="1"/>
  <c r="I23" i="57"/>
  <c r="O13" i="57"/>
  <c r="N13" i="57"/>
  <c r="I13" i="57" s="1"/>
  <c r="M13" i="57"/>
  <c r="H13" i="57" s="1"/>
  <c r="G51" i="57" l="1"/>
  <c r="C74" i="57"/>
  <c r="F52" i="57"/>
  <c r="G52" i="57"/>
  <c r="I52" i="57" s="1"/>
  <c r="I54" i="57" s="1"/>
  <c r="F59" i="57" s="1"/>
  <c r="I59" i="57" s="1"/>
  <c r="F36" i="57"/>
  <c r="F34" i="57"/>
  <c r="G67" i="57"/>
  <c r="I67" i="57" s="1"/>
  <c r="I69" i="57" s="1"/>
  <c r="F73" i="57" s="1"/>
  <c r="I73" i="57" s="1"/>
  <c r="I98" i="57"/>
  <c r="I99" i="57" s="1"/>
  <c r="F105" i="57" s="1"/>
  <c r="I105" i="57" s="1"/>
  <c r="F35" i="57"/>
  <c r="G82" i="57"/>
  <c r="H82" i="57" s="1"/>
  <c r="F96" i="57"/>
  <c r="G96" i="57" s="1"/>
  <c r="G83" i="57"/>
  <c r="I83" i="57" s="1"/>
  <c r="I85" i="57" s="1"/>
  <c r="F89" i="57" s="1"/>
  <c r="I89" i="57" s="1"/>
  <c r="F97" i="57"/>
  <c r="I110" i="57"/>
  <c r="J48" i="57"/>
  <c r="F111" i="57"/>
  <c r="F113" i="57" s="1"/>
  <c r="F116" i="57" s="1"/>
  <c r="H37" i="57"/>
  <c r="J37" i="57" s="1"/>
  <c r="J38" i="57" s="1"/>
  <c r="F44" i="57" s="1"/>
  <c r="I44" i="57" s="1"/>
  <c r="H84" i="57"/>
  <c r="J84" i="57" s="1"/>
  <c r="J85" i="57" s="1"/>
  <c r="F90" i="57" s="1"/>
  <c r="I90" i="57" s="1"/>
  <c r="E61" i="57"/>
  <c r="I56" i="57"/>
  <c r="H112" i="57"/>
  <c r="H113" i="57" s="1"/>
  <c r="F118" i="57" s="1"/>
  <c r="I118" i="57" s="1"/>
  <c r="H51" i="57"/>
  <c r="K51" i="57" s="1"/>
  <c r="I71" i="57"/>
  <c r="E75" i="57"/>
  <c r="I22" i="57"/>
  <c r="I25" i="57" s="1"/>
  <c r="I102" i="57"/>
  <c r="E106" i="57"/>
  <c r="E45" i="57"/>
  <c r="I40" i="57"/>
  <c r="H66" i="57"/>
  <c r="K66" i="57" s="1"/>
  <c r="I116" i="57"/>
  <c r="E119" i="57"/>
  <c r="I87" i="57"/>
  <c r="E91" i="57"/>
  <c r="G35" i="57"/>
  <c r="C44" i="57"/>
  <c r="K49" i="57"/>
  <c r="F50" i="57"/>
  <c r="G68" i="57"/>
  <c r="F53" i="57"/>
  <c r="H68" i="57"/>
  <c r="G97" i="57"/>
  <c r="G36" i="57"/>
  <c r="H53" i="57"/>
  <c r="D65" i="66"/>
  <c r="M64" i="66" s="1"/>
  <c r="J11" i="45"/>
  <c r="C5" i="45"/>
  <c r="O63" i="2"/>
  <c r="O62" i="2"/>
  <c r="O61" i="2"/>
  <c r="B2" i="15"/>
  <c r="E135" i="15"/>
  <c r="C127" i="15"/>
  <c r="E122" i="15"/>
  <c r="D122" i="15"/>
  <c r="E125" i="15" s="1"/>
  <c r="C121" i="15"/>
  <c r="H118" i="15" s="1"/>
  <c r="F119" i="15"/>
  <c r="G118" i="15"/>
  <c r="G121" i="15" s="1"/>
  <c r="F118" i="15"/>
  <c r="F120" i="15" s="1"/>
  <c r="C112" i="15"/>
  <c r="C111" i="15"/>
  <c r="E108" i="15"/>
  <c r="D108" i="15"/>
  <c r="E111" i="15" s="1"/>
  <c r="E115" i="15" s="1"/>
  <c r="G107" i="15"/>
  <c r="F107" i="15"/>
  <c r="C107" i="15"/>
  <c r="I103" i="15" s="1"/>
  <c r="G106" i="15"/>
  <c r="F106" i="15"/>
  <c r="F105" i="15"/>
  <c r="G105" i="15" s="1"/>
  <c r="F104" i="15"/>
  <c r="H103" i="15"/>
  <c r="C113" i="15" s="1"/>
  <c r="C99" i="15"/>
  <c r="E93" i="15"/>
  <c r="D93" i="15"/>
  <c r="E96" i="15" s="1"/>
  <c r="C92" i="15"/>
  <c r="I88" i="15" s="1"/>
  <c r="F89" i="15"/>
  <c r="J89" i="15" s="1"/>
  <c r="H88" i="15"/>
  <c r="H92" i="15" s="1"/>
  <c r="G88" i="15"/>
  <c r="G92" i="15" s="1"/>
  <c r="F88" i="15"/>
  <c r="F92" i="15" s="1"/>
  <c r="C84" i="15"/>
  <c r="E78" i="15"/>
  <c r="D78" i="15"/>
  <c r="E81" i="15" s="1"/>
  <c r="C77" i="15"/>
  <c r="F74" i="15"/>
  <c r="J74" i="15" s="1"/>
  <c r="I73" i="15"/>
  <c r="H73" i="15"/>
  <c r="H77" i="15" s="1"/>
  <c r="G73" i="15"/>
  <c r="G77" i="15" s="1"/>
  <c r="F73" i="15"/>
  <c r="F75" i="15" s="1"/>
  <c r="C69" i="15"/>
  <c r="E63" i="15"/>
  <c r="D63" i="15"/>
  <c r="E65" i="15" s="1"/>
  <c r="C62" i="15"/>
  <c r="J57" i="15" s="1"/>
  <c r="F58" i="15"/>
  <c r="K58" i="15" s="1"/>
  <c r="I57" i="15"/>
  <c r="I62" i="15" s="1"/>
  <c r="H57" i="15"/>
  <c r="H62" i="15" s="1"/>
  <c r="G57" i="15"/>
  <c r="G61" i="15" s="1"/>
  <c r="F57" i="15"/>
  <c r="F59" i="15" s="1"/>
  <c r="K51" i="15"/>
  <c r="C49" i="15"/>
  <c r="E42" i="15"/>
  <c r="D42" i="15"/>
  <c r="E45" i="15" s="1"/>
  <c r="F37" i="15"/>
  <c r="K37" i="15" s="1"/>
  <c r="J36" i="15"/>
  <c r="I36" i="15"/>
  <c r="I41" i="15" s="1"/>
  <c r="H36" i="15"/>
  <c r="H41" i="15" s="1"/>
  <c r="G36" i="15"/>
  <c r="G41" i="15" s="1"/>
  <c r="F36" i="15"/>
  <c r="F41" i="15" s="1"/>
  <c r="H30" i="76" l="1"/>
  <c r="I26" i="92"/>
  <c r="G85" i="57"/>
  <c r="F87" i="57" s="1"/>
  <c r="G99" i="57"/>
  <c r="F103" i="57" s="1"/>
  <c r="I36" i="57"/>
  <c r="I38" i="57" s="1"/>
  <c r="F43" i="57" s="1"/>
  <c r="I43" i="57" s="1"/>
  <c r="K67" i="57"/>
  <c r="G111" i="57"/>
  <c r="G113" i="57" s="1"/>
  <c r="F117" i="57" s="1"/>
  <c r="I117" i="57" s="1"/>
  <c r="I119" i="57" s="1"/>
  <c r="I11" i="57" s="1"/>
  <c r="K84" i="57"/>
  <c r="H85" i="57"/>
  <c r="F88" i="57" s="1"/>
  <c r="I88" i="57" s="1"/>
  <c r="I91" i="57" s="1"/>
  <c r="I9" i="57" s="1"/>
  <c r="I27" i="57"/>
  <c r="H10" i="3" s="1"/>
  <c r="G30" i="15"/>
  <c r="M84" i="66"/>
  <c r="M81" i="66"/>
  <c r="M80" i="66"/>
  <c r="M82" i="66"/>
  <c r="M83" i="66"/>
  <c r="M79" i="66"/>
  <c r="M85" i="66"/>
  <c r="M78" i="66"/>
  <c r="M77" i="66"/>
  <c r="Q77" i="66" s="1"/>
  <c r="D66" i="66"/>
  <c r="N64" i="66" s="1"/>
  <c r="D67" i="66"/>
  <c r="O64" i="66" s="1"/>
  <c r="D68" i="66"/>
  <c r="P64" i="66" s="1"/>
  <c r="K82" i="57"/>
  <c r="G34" i="57"/>
  <c r="K34" i="57" s="1"/>
  <c r="F38" i="57"/>
  <c r="F40" i="57" s="1"/>
  <c r="K83" i="57"/>
  <c r="F99" i="57"/>
  <c r="F102" i="57" s="1"/>
  <c r="K36" i="57"/>
  <c r="I103" i="57"/>
  <c r="H97" i="57"/>
  <c r="H99" i="57" s="1"/>
  <c r="F104" i="57" s="1"/>
  <c r="I104" i="57" s="1"/>
  <c r="J53" i="57"/>
  <c r="J54" i="57" s="1"/>
  <c r="F60" i="57" s="1"/>
  <c r="I60" i="57" s="1"/>
  <c r="I112" i="57"/>
  <c r="K52" i="57"/>
  <c r="J68" i="57"/>
  <c r="F54" i="57"/>
  <c r="F56" i="57" s="1"/>
  <c r="F119" i="57"/>
  <c r="H11" i="57" s="1"/>
  <c r="G50" i="57"/>
  <c r="G54" i="57" s="1"/>
  <c r="F57" i="57" s="1"/>
  <c r="I57" i="57" s="1"/>
  <c r="H35" i="57"/>
  <c r="H38" i="57" s="1"/>
  <c r="F42" i="57" s="1"/>
  <c r="I42" i="57" s="1"/>
  <c r="H69" i="57"/>
  <c r="F72" i="57" s="1"/>
  <c r="I72" i="57" s="1"/>
  <c r="K37" i="57"/>
  <c r="G69" i="57"/>
  <c r="F71" i="57" s="1"/>
  <c r="H54" i="57"/>
  <c r="F58" i="57" s="1"/>
  <c r="I58" i="57" s="1"/>
  <c r="H106" i="15"/>
  <c r="J106" i="15" s="1"/>
  <c r="F39" i="15"/>
  <c r="H61" i="15"/>
  <c r="F60" i="15"/>
  <c r="G39" i="15"/>
  <c r="F62" i="15"/>
  <c r="F108" i="15"/>
  <c r="F111" i="15" s="1"/>
  <c r="G62" i="15"/>
  <c r="J62" i="15" s="1"/>
  <c r="J63" i="15" s="1"/>
  <c r="F69" i="15" s="1"/>
  <c r="F76" i="15"/>
  <c r="F90" i="15"/>
  <c r="G90" i="15" s="1"/>
  <c r="G76" i="15"/>
  <c r="F121" i="15"/>
  <c r="H121" i="15" s="1"/>
  <c r="H122" i="15" s="1"/>
  <c r="F127" i="15" s="1"/>
  <c r="H107" i="15"/>
  <c r="H108" i="15" s="1"/>
  <c r="F113" i="15" s="1"/>
  <c r="J41" i="15"/>
  <c r="J42" i="15" s="1"/>
  <c r="F49" i="15" s="1"/>
  <c r="G59" i="15"/>
  <c r="E85" i="15"/>
  <c r="G75" i="15"/>
  <c r="J75" i="15"/>
  <c r="E100" i="15"/>
  <c r="E128" i="15"/>
  <c r="I92" i="15"/>
  <c r="I93" i="15" s="1"/>
  <c r="F99" i="15" s="1"/>
  <c r="G108" i="15"/>
  <c r="F112" i="15" s="1"/>
  <c r="J105" i="15"/>
  <c r="C114" i="15"/>
  <c r="E50" i="15"/>
  <c r="G120" i="15"/>
  <c r="G122" i="15" s="1"/>
  <c r="F126" i="15" s="1"/>
  <c r="E70" i="15"/>
  <c r="J104" i="15"/>
  <c r="G60" i="15"/>
  <c r="H60" i="15" s="1"/>
  <c r="H63" i="15" s="1"/>
  <c r="F67" i="15" s="1"/>
  <c r="F40" i="15"/>
  <c r="G40" i="15"/>
  <c r="F91" i="15"/>
  <c r="H40" i="15"/>
  <c r="F61" i="15"/>
  <c r="F63" i="15" s="1"/>
  <c r="F65" i="15" s="1"/>
  <c r="G91" i="15"/>
  <c r="F77" i="15"/>
  <c r="F38" i="15"/>
  <c r="G38" i="57" l="1"/>
  <c r="F41" i="57" s="1"/>
  <c r="I41" i="57" s="1"/>
  <c r="I111" i="57"/>
  <c r="I113" i="57" s="1"/>
  <c r="I106" i="57"/>
  <c r="I10" i="57" s="1"/>
  <c r="F91" i="57"/>
  <c r="H9" i="57" s="1"/>
  <c r="K85" i="57"/>
  <c r="N81" i="66"/>
  <c r="N83" i="66"/>
  <c r="N82" i="66"/>
  <c r="N84" i="66"/>
  <c r="N85" i="66"/>
  <c r="N80" i="66"/>
  <c r="Q80" i="66" s="1"/>
  <c r="N79" i="66"/>
  <c r="Q79" i="66" s="1"/>
  <c r="N78" i="66"/>
  <c r="Q78" i="66" s="1"/>
  <c r="P84" i="66"/>
  <c r="P85" i="66"/>
  <c r="O81" i="66"/>
  <c r="Q81" i="66" s="1"/>
  <c r="O85" i="66"/>
  <c r="O82" i="66"/>
  <c r="Q82" i="66" s="1"/>
  <c r="O83" i="66"/>
  <c r="O84" i="66"/>
  <c r="I107" i="15"/>
  <c r="I108" i="15" s="1"/>
  <c r="F114" i="15" s="1"/>
  <c r="G93" i="15"/>
  <c r="F97" i="15" s="1"/>
  <c r="F45" i="57"/>
  <c r="H6" i="57" s="1"/>
  <c r="I61" i="57"/>
  <c r="I7" i="57" s="1"/>
  <c r="I45" i="57"/>
  <c r="I6" i="57" s="1"/>
  <c r="K53" i="57"/>
  <c r="F61" i="57"/>
  <c r="H7" i="57" s="1"/>
  <c r="F106" i="57"/>
  <c r="H10" i="57" s="1"/>
  <c r="K50" i="57"/>
  <c r="K54" i="57" s="1"/>
  <c r="J69" i="57"/>
  <c r="F74" i="57"/>
  <c r="I74" i="57" s="1"/>
  <c r="I75" i="57" s="1"/>
  <c r="I8" i="57" s="1"/>
  <c r="K68" i="57"/>
  <c r="K69" i="57" s="1"/>
  <c r="K35" i="57"/>
  <c r="K38" i="57" s="1"/>
  <c r="H76" i="15"/>
  <c r="H78" i="15" s="1"/>
  <c r="F83" i="15" s="1"/>
  <c r="F122" i="15"/>
  <c r="F125" i="15" s="1"/>
  <c r="G63" i="15"/>
  <c r="F66" i="15" s="1"/>
  <c r="H39" i="15"/>
  <c r="K39" i="15" s="1"/>
  <c r="J107" i="15"/>
  <c r="J108" i="15" s="1"/>
  <c r="F115" i="15"/>
  <c r="F128" i="15"/>
  <c r="G78" i="15"/>
  <c r="F82" i="15" s="1"/>
  <c r="J92" i="15"/>
  <c r="K60" i="15"/>
  <c r="G38" i="15"/>
  <c r="G42" i="15" s="1"/>
  <c r="F46" i="15" s="1"/>
  <c r="F42" i="15"/>
  <c r="F45" i="15" s="1"/>
  <c r="K59" i="15"/>
  <c r="J90" i="15"/>
  <c r="H91" i="15"/>
  <c r="H93" i="15" s="1"/>
  <c r="F98" i="15" s="1"/>
  <c r="K41" i="15"/>
  <c r="I77" i="15"/>
  <c r="I78" i="15" s="1"/>
  <c r="F84" i="15" s="1"/>
  <c r="I61" i="15"/>
  <c r="I63" i="15" s="1"/>
  <c r="F68" i="15" s="1"/>
  <c r="F78" i="15"/>
  <c r="F81" i="15" s="1"/>
  <c r="K62" i="15"/>
  <c r="I40" i="15"/>
  <c r="I42" i="15" s="1"/>
  <c r="F48" i="15" s="1"/>
  <c r="F93" i="15"/>
  <c r="F96" i="15" s="1"/>
  <c r="J76" i="15"/>
  <c r="O54" i="2"/>
  <c r="O49" i="2"/>
  <c r="O43" i="2"/>
  <c r="O37" i="2"/>
  <c r="O31" i="2"/>
  <c r="J56" i="2"/>
  <c r="J51" i="2"/>
  <c r="J46" i="2"/>
  <c r="J40" i="2"/>
  <c r="J34" i="2"/>
  <c r="J28" i="2"/>
  <c r="J22" i="2"/>
  <c r="J15" i="2"/>
  <c r="D56" i="2"/>
  <c r="D51" i="2"/>
  <c r="D46" i="2"/>
  <c r="D40" i="2"/>
  <c r="D34" i="2"/>
  <c r="D28" i="2"/>
  <c r="D22" i="2"/>
  <c r="D15" i="2"/>
  <c r="O25" i="2"/>
  <c r="O18" i="2"/>
  <c r="O15" i="2"/>
  <c r="O14" i="2"/>
  <c r="Q20" i="2"/>
  <c r="Q32" i="2" s="1"/>
  <c r="Q38" i="2" s="1"/>
  <c r="Q44" i="2" s="1"/>
  <c r="Q50" i="2" s="1"/>
  <c r="O13" i="2"/>
  <c r="O12" i="2"/>
  <c r="O11" i="2"/>
  <c r="G17" i="25"/>
  <c r="F20" i="2" s="1"/>
  <c r="O20" i="2" s="1"/>
  <c r="G18" i="25"/>
  <c r="G19" i="25"/>
  <c r="G16" i="25"/>
  <c r="F19" i="2" s="1"/>
  <c r="E12" i="25"/>
  <c r="E53" i="25"/>
  <c r="E48" i="25"/>
  <c r="E43" i="25"/>
  <c r="E37" i="25"/>
  <c r="E31" i="25"/>
  <c r="E25" i="25"/>
  <c r="E19" i="25"/>
  <c r="I12" i="57" l="1"/>
  <c r="I14" i="57" s="1"/>
  <c r="I16" i="57" s="1"/>
  <c r="H9" i="3" s="1"/>
  <c r="G25" i="25"/>
  <c r="F22" i="2"/>
  <c r="O22" i="2" s="1"/>
  <c r="G24" i="25"/>
  <c r="F21" i="2"/>
  <c r="G23" i="25"/>
  <c r="Q85" i="66"/>
  <c r="Q84" i="66"/>
  <c r="Q83" i="66"/>
  <c r="D56" i="68"/>
  <c r="O53" i="68" s="1"/>
  <c r="D54" i="69"/>
  <c r="M53" i="69" s="1"/>
  <c r="D54" i="68"/>
  <c r="M53" i="68" s="1"/>
  <c r="M61" i="68" s="1"/>
  <c r="P61" i="68" s="1"/>
  <c r="D55" i="68"/>
  <c r="N53" i="68" s="1"/>
  <c r="N62" i="68" s="1"/>
  <c r="F75" i="57"/>
  <c r="H8" i="57" s="1"/>
  <c r="H12" i="57" s="1"/>
  <c r="H14" i="57" s="1"/>
  <c r="Q22" i="2"/>
  <c r="Q28" i="2" s="1"/>
  <c r="Q34" i="2" s="1"/>
  <c r="Q40" i="2" s="1"/>
  <c r="Q46" i="2" s="1"/>
  <c r="Q51" i="2" s="1"/>
  <c r="Q56" i="2" s="1"/>
  <c r="Q63" i="2" s="1"/>
  <c r="Q21" i="2"/>
  <c r="Q27" i="2" s="1"/>
  <c r="Q33" i="2" s="1"/>
  <c r="Q39" i="2" s="1"/>
  <c r="Q45" i="2" s="1"/>
  <c r="Q55" i="2" s="1"/>
  <c r="Q62" i="2" s="1"/>
  <c r="F85" i="15"/>
  <c r="F100" i="15"/>
  <c r="H42" i="15"/>
  <c r="F47" i="15" s="1"/>
  <c r="F50" i="15" s="1"/>
  <c r="J91" i="15"/>
  <c r="J93" i="15" s="1"/>
  <c r="K61" i="15"/>
  <c r="K63" i="15" s="1"/>
  <c r="K40" i="15"/>
  <c r="J77" i="15"/>
  <c r="J78" i="15" s="1"/>
  <c r="K38" i="15"/>
  <c r="F70" i="15"/>
  <c r="O21" i="2"/>
  <c r="O19" i="2"/>
  <c r="G29" i="25" l="1"/>
  <c r="F26" i="2"/>
  <c r="O26" i="2" s="1"/>
  <c r="G30" i="25"/>
  <c r="F27" i="2"/>
  <c r="O27" i="2" s="1"/>
  <c r="G31" i="25"/>
  <c r="F28" i="2"/>
  <c r="P15" i="69"/>
  <c r="F53" i="82" s="1"/>
  <c r="P14" i="69"/>
  <c r="F52" i="82" s="1"/>
  <c r="P13" i="69"/>
  <c r="F51" i="82" s="1"/>
  <c r="P12" i="69"/>
  <c r="F50" i="82" s="1"/>
  <c r="P11" i="69"/>
  <c r="F49" i="82" s="1"/>
  <c r="O65" i="68"/>
  <c r="O66" i="68"/>
  <c r="D56" i="69"/>
  <c r="O53" i="69" s="1"/>
  <c r="M62" i="69"/>
  <c r="M60" i="69"/>
  <c r="M61" i="69"/>
  <c r="M63" i="69"/>
  <c r="M64" i="69"/>
  <c r="D55" i="69"/>
  <c r="N53" i="69" s="1"/>
  <c r="N66" i="68"/>
  <c r="N63" i="68"/>
  <c r="N65" i="68"/>
  <c r="N64" i="68"/>
  <c r="M64" i="68"/>
  <c r="P64" i="68" s="1"/>
  <c r="M62" i="68"/>
  <c r="P62" i="68" s="1"/>
  <c r="M65" i="68"/>
  <c r="M63" i="68"/>
  <c r="P63" i="68" s="1"/>
  <c r="M66" i="68"/>
  <c r="K42" i="15"/>
  <c r="O28" i="2"/>
  <c r="G37" i="25" l="1"/>
  <c r="F34" i="2"/>
  <c r="O34" i="2" s="1"/>
  <c r="G36" i="25"/>
  <c r="F33" i="2"/>
  <c r="O33" i="2" s="1"/>
  <c r="G35" i="25"/>
  <c r="F32" i="2"/>
  <c r="O32" i="2" s="1"/>
  <c r="N60" i="69"/>
  <c r="P60" i="69"/>
  <c r="P65" i="68"/>
  <c r="P66" i="68"/>
  <c r="D53" i="70"/>
  <c r="M52" i="70" s="1"/>
  <c r="O64" i="69"/>
  <c r="O63" i="69"/>
  <c r="N62" i="69"/>
  <c r="P62" i="69" s="1"/>
  <c r="N61" i="69"/>
  <c r="P61" i="69" s="1"/>
  <c r="N64" i="69"/>
  <c r="P64" i="69" s="1"/>
  <c r="N63" i="69"/>
  <c r="P63" i="69" s="1"/>
  <c r="D54" i="70"/>
  <c r="N52" i="70" s="1"/>
  <c r="G42" i="25" l="1"/>
  <c r="F39" i="2"/>
  <c r="O39" i="2" s="1"/>
  <c r="G41" i="25"/>
  <c r="F44" i="2" s="1"/>
  <c r="O44" i="2" s="1"/>
  <c r="F38" i="2"/>
  <c r="O38" i="2" s="1"/>
  <c r="G43" i="25"/>
  <c r="F40" i="2"/>
  <c r="O40" i="2" s="1"/>
  <c r="M61" i="70"/>
  <c r="M60" i="70"/>
  <c r="M59" i="70"/>
  <c r="M63" i="70"/>
  <c r="M62" i="70"/>
  <c r="N59" i="70"/>
  <c r="N60" i="70"/>
  <c r="N61" i="70"/>
  <c r="N62" i="70"/>
  <c r="N63" i="70"/>
  <c r="G48" i="25" l="1"/>
  <c r="F46" i="2"/>
  <c r="O46" i="2" s="1"/>
  <c r="G47" i="25"/>
  <c r="F45" i="2"/>
  <c r="O45" i="2" s="1"/>
  <c r="O62" i="70"/>
  <c r="O59" i="70"/>
  <c r="O60" i="70"/>
  <c r="O63" i="70"/>
  <c r="O61" i="70"/>
  <c r="G52" i="25" l="1"/>
  <c r="F55" i="2" s="1"/>
  <c r="O55" i="2" s="1"/>
  <c r="F50" i="2"/>
  <c r="O50" i="2" s="1"/>
  <c r="G53" i="25"/>
  <c r="F56" i="2" s="1"/>
  <c r="O56" i="2" s="1"/>
  <c r="F51" i="2"/>
  <c r="O51" i="2" s="1"/>
  <c r="G7" i="53"/>
  <c r="I11" i="5" l="1"/>
  <c r="P5" i="52"/>
  <c r="N53" i="52"/>
  <c r="L53" i="52"/>
  <c r="J53" i="52"/>
  <c r="I53" i="52"/>
  <c r="G53" i="52"/>
  <c r="F53" i="52"/>
  <c r="D53" i="52"/>
  <c r="B53" i="52"/>
  <c r="S52" i="52"/>
  <c r="O52" i="52"/>
  <c r="E52" i="52"/>
  <c r="R51" i="52"/>
  <c r="Q51" i="52"/>
  <c r="P51" i="52"/>
  <c r="O51" i="52"/>
  <c r="E51" i="52"/>
  <c r="R50" i="52"/>
  <c r="Q50" i="52"/>
  <c r="P50" i="52"/>
  <c r="O50" i="52"/>
  <c r="E50" i="52"/>
  <c r="R49" i="52"/>
  <c r="Q49" i="52"/>
  <c r="P49" i="52"/>
  <c r="O49" i="52"/>
  <c r="E49" i="52"/>
  <c r="R48" i="52"/>
  <c r="Q48" i="52"/>
  <c r="P48" i="52"/>
  <c r="O48" i="52"/>
  <c r="E48" i="52"/>
  <c r="A48" i="52"/>
  <c r="A49" i="52" s="1"/>
  <c r="A50" i="52" s="1"/>
  <c r="A51" i="52" s="1"/>
  <c r="R47" i="52"/>
  <c r="Q47" i="52"/>
  <c r="P47" i="52"/>
  <c r="O47" i="52"/>
  <c r="E47" i="52"/>
  <c r="R46" i="52"/>
  <c r="Q46" i="52"/>
  <c r="P46" i="52"/>
  <c r="O46" i="52"/>
  <c r="E46" i="52"/>
  <c r="R45" i="52"/>
  <c r="Q45" i="52"/>
  <c r="P45" i="52"/>
  <c r="O45" i="52"/>
  <c r="E45" i="52"/>
  <c r="R44" i="52"/>
  <c r="Q44" i="52"/>
  <c r="P44" i="52"/>
  <c r="O44" i="52"/>
  <c r="E44" i="52"/>
  <c r="R43" i="52"/>
  <c r="Q43" i="52"/>
  <c r="P43" i="52"/>
  <c r="O43" i="52"/>
  <c r="E43" i="52"/>
  <c r="R42" i="52"/>
  <c r="Q42" i="52"/>
  <c r="P42" i="52"/>
  <c r="O42" i="52"/>
  <c r="E42" i="52"/>
  <c r="R41" i="52"/>
  <c r="Q41" i="52"/>
  <c r="P41" i="52"/>
  <c r="O41" i="52"/>
  <c r="E41" i="52"/>
  <c r="R40" i="52"/>
  <c r="Q40" i="52"/>
  <c r="P40" i="52"/>
  <c r="O40" i="52"/>
  <c r="E40" i="52"/>
  <c r="R39" i="52"/>
  <c r="Q39" i="52"/>
  <c r="P39" i="52"/>
  <c r="O39" i="52"/>
  <c r="E39" i="52"/>
  <c r="R38" i="52"/>
  <c r="Q38" i="52"/>
  <c r="P38" i="52"/>
  <c r="O38" i="52"/>
  <c r="E38" i="52"/>
  <c r="R37" i="52"/>
  <c r="Q37" i="52"/>
  <c r="P37" i="52"/>
  <c r="O37" i="52"/>
  <c r="E37" i="52"/>
  <c r="R36" i="52"/>
  <c r="Q36" i="52"/>
  <c r="P36" i="52"/>
  <c r="O36" i="52"/>
  <c r="E36" i="52"/>
  <c r="R35" i="52"/>
  <c r="Q35" i="52"/>
  <c r="P35" i="52"/>
  <c r="O35" i="52"/>
  <c r="E35" i="52"/>
  <c r="R34" i="52"/>
  <c r="Q34" i="52"/>
  <c r="P34" i="52"/>
  <c r="O34" i="52"/>
  <c r="E34" i="52"/>
  <c r="R33" i="52"/>
  <c r="Q33" i="52"/>
  <c r="P33" i="52"/>
  <c r="O33" i="52"/>
  <c r="E33" i="52"/>
  <c r="R32" i="52"/>
  <c r="Q32" i="52"/>
  <c r="P32" i="52"/>
  <c r="O32" i="52"/>
  <c r="E32" i="52"/>
  <c r="R31" i="52"/>
  <c r="Q31" i="52"/>
  <c r="P31" i="52"/>
  <c r="O31" i="52"/>
  <c r="E31" i="52"/>
  <c r="R30" i="52"/>
  <c r="Q30" i="52"/>
  <c r="P30" i="52"/>
  <c r="O30" i="52"/>
  <c r="E30" i="52"/>
  <c r="R29" i="52"/>
  <c r="P29" i="52"/>
  <c r="M29" i="52"/>
  <c r="Q29" i="52" s="1"/>
  <c r="E29" i="52"/>
  <c r="R28" i="52"/>
  <c r="P28" i="52"/>
  <c r="M28" i="52"/>
  <c r="Q28" i="52" s="1"/>
  <c r="E28" i="52"/>
  <c r="R27" i="52"/>
  <c r="P27" i="52"/>
  <c r="M27" i="52"/>
  <c r="Q27" i="52" s="1"/>
  <c r="E27" i="52"/>
  <c r="R26" i="52"/>
  <c r="P26" i="52"/>
  <c r="M26" i="52"/>
  <c r="O26" i="52" s="1"/>
  <c r="C26" i="52"/>
  <c r="Q26" i="52" s="1"/>
  <c r="R25" i="52"/>
  <c r="P25" i="52"/>
  <c r="M25" i="52"/>
  <c r="O25" i="52" s="1"/>
  <c r="C25" i="52"/>
  <c r="E25" i="52" s="1"/>
  <c r="R24" i="52"/>
  <c r="P24" i="52"/>
  <c r="M24" i="52"/>
  <c r="O24" i="52" s="1"/>
  <c r="C24" i="52"/>
  <c r="E24" i="52" s="1"/>
  <c r="R23" i="52"/>
  <c r="P23" i="52"/>
  <c r="M23" i="52"/>
  <c r="O23" i="52" s="1"/>
  <c r="C23" i="52"/>
  <c r="R22" i="52"/>
  <c r="P22" i="52"/>
  <c r="M22" i="52"/>
  <c r="O22" i="52" s="1"/>
  <c r="C22" i="52"/>
  <c r="E22" i="52" s="1"/>
  <c r="R21" i="52"/>
  <c r="P21" i="52"/>
  <c r="M21" i="52"/>
  <c r="O21" i="52" s="1"/>
  <c r="C21" i="52"/>
  <c r="R20" i="52"/>
  <c r="P20" i="52"/>
  <c r="M20" i="52"/>
  <c r="O20" i="52" s="1"/>
  <c r="C20" i="52"/>
  <c r="E20" i="52" s="1"/>
  <c r="D14" i="45" s="1"/>
  <c r="R19" i="52"/>
  <c r="P19" i="52"/>
  <c r="M19" i="52"/>
  <c r="H15" i="45"/>
  <c r="F15" i="45"/>
  <c r="C19" i="52"/>
  <c r="E19" i="52" s="1"/>
  <c r="R18" i="52"/>
  <c r="P18" i="52"/>
  <c r="M18" i="52"/>
  <c r="O18" i="52" s="1"/>
  <c r="H14" i="45"/>
  <c r="F14" i="45"/>
  <c r="C18" i="52"/>
  <c r="E18" i="52" s="1"/>
  <c r="D12" i="45" s="1"/>
  <c r="R17" i="52"/>
  <c r="P17" i="52"/>
  <c r="M17" i="52"/>
  <c r="O17" i="52" s="1"/>
  <c r="J13" i="45" s="1"/>
  <c r="H13" i="45"/>
  <c r="F13" i="45"/>
  <c r="C17" i="52"/>
  <c r="E17" i="52" s="1"/>
  <c r="D11" i="45" s="1"/>
  <c r="R16" i="52"/>
  <c r="R53" i="52" s="1"/>
  <c r="P16" i="52"/>
  <c r="M16" i="52"/>
  <c r="O16" i="52" s="1"/>
  <c r="J12" i="45" s="1"/>
  <c r="G12" i="5"/>
  <c r="C16" i="52"/>
  <c r="E16" i="52" s="1"/>
  <c r="R15" i="52"/>
  <c r="Q15" i="52"/>
  <c r="P15" i="52"/>
  <c r="H11" i="45"/>
  <c r="F11" i="45"/>
  <c r="E15" i="52"/>
  <c r="P13" i="52"/>
  <c r="S50" i="52" l="1"/>
  <c r="E26" i="52"/>
  <c r="S31" i="52"/>
  <c r="S43" i="52"/>
  <c r="S32" i="52"/>
  <c r="S44" i="52"/>
  <c r="S49" i="52"/>
  <c r="S41" i="52"/>
  <c r="Q16" i="52"/>
  <c r="S16" i="52" s="1"/>
  <c r="Q21" i="52"/>
  <c r="S21" i="52" s="1"/>
  <c r="S33" i="52"/>
  <c r="S45" i="52"/>
  <c r="S28" i="52"/>
  <c r="S35" i="52"/>
  <c r="S47" i="52"/>
  <c r="G15" i="5"/>
  <c r="E15" i="5"/>
  <c r="J14" i="45"/>
  <c r="L14" i="45" s="1"/>
  <c r="I14" i="5"/>
  <c r="S27" i="52"/>
  <c r="D13" i="45"/>
  <c r="L13" i="45" s="1"/>
  <c r="C13" i="5"/>
  <c r="L11" i="45"/>
  <c r="S20" i="52"/>
  <c r="S30" i="52"/>
  <c r="S42" i="52"/>
  <c r="C11" i="5"/>
  <c r="G14" i="5"/>
  <c r="Q20" i="52"/>
  <c r="E14" i="5"/>
  <c r="O27" i="52"/>
  <c r="S37" i="52"/>
  <c r="C14" i="5"/>
  <c r="I13" i="5"/>
  <c r="S39" i="52"/>
  <c r="G13" i="5"/>
  <c r="Q22" i="52"/>
  <c r="S22" i="52" s="1"/>
  <c r="C12" i="5"/>
  <c r="E13" i="5"/>
  <c r="S40" i="52"/>
  <c r="Q19" i="52"/>
  <c r="S19" i="52" s="1"/>
  <c r="S34" i="52"/>
  <c r="S46" i="52"/>
  <c r="E11" i="5"/>
  <c r="I12" i="5"/>
  <c r="H53" i="52"/>
  <c r="F12" i="45"/>
  <c r="F17" i="45" s="1"/>
  <c r="Q23" i="52"/>
  <c r="S23" i="52" s="1"/>
  <c r="S36" i="52"/>
  <c r="S48" i="52"/>
  <c r="G11" i="5"/>
  <c r="R54" i="52"/>
  <c r="S15" i="52"/>
  <c r="K53" i="52"/>
  <c r="H12" i="45"/>
  <c r="H19" i="45" s="1"/>
  <c r="S26" i="52"/>
  <c r="S38" i="52"/>
  <c r="S51" i="52"/>
  <c r="E12" i="5"/>
  <c r="S29" i="52"/>
  <c r="O19" i="52"/>
  <c r="M53" i="52"/>
  <c r="O29" i="52"/>
  <c r="E23" i="52"/>
  <c r="C53" i="52"/>
  <c r="P53" i="52"/>
  <c r="P54" i="52" s="1"/>
  <c r="Q18" i="52"/>
  <c r="S18" i="52" s="1"/>
  <c r="E21" i="52"/>
  <c r="Q24" i="52"/>
  <c r="S24" i="52" s="1"/>
  <c r="O28" i="52"/>
  <c r="Q25" i="52"/>
  <c r="S25" i="52" s="1"/>
  <c r="Q17" i="52"/>
  <c r="S17" i="52" s="1"/>
  <c r="F19" i="45" l="1"/>
  <c r="K14" i="5"/>
  <c r="H17" i="45"/>
  <c r="K12" i="5"/>
  <c r="L12" i="45"/>
  <c r="K11" i="5"/>
  <c r="E53" i="52"/>
  <c r="D15" i="45"/>
  <c r="C15" i="5"/>
  <c r="K15" i="5" s="1"/>
  <c r="K13" i="5"/>
  <c r="O53" i="52"/>
  <c r="J15" i="45"/>
  <c r="I15" i="5"/>
  <c r="S53" i="52"/>
  <c r="Q53" i="52"/>
  <c r="Q54" i="52" s="1"/>
  <c r="K17" i="5" l="1"/>
  <c r="K19" i="5"/>
  <c r="L49" i="3" s="1"/>
  <c r="D6" i="78" s="1"/>
  <c r="F6" i="78" s="1"/>
  <c r="S54" i="52"/>
  <c r="J17" i="45"/>
  <c r="J19" i="45"/>
  <c r="D19" i="45"/>
  <c r="D17" i="45"/>
  <c r="L15" i="45"/>
  <c r="L23" i="3"/>
  <c r="H21" i="34"/>
  <c r="G8" i="53"/>
  <c r="G10" i="53" s="1"/>
  <c r="H43" i="3" s="1"/>
  <c r="L17" i="45" l="1"/>
  <c r="L19" i="45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0" i="3"/>
  <c r="F40" i="34"/>
  <c r="L40" i="34" s="1"/>
  <c r="F39" i="34"/>
  <c r="L39" i="34" s="1"/>
  <c r="F38" i="34"/>
  <c r="L38" i="34" s="1"/>
  <c r="F37" i="34"/>
  <c r="L37" i="34" s="1"/>
  <c r="F36" i="34"/>
  <c r="L36" i="34" s="1"/>
  <c r="F35" i="34"/>
  <c r="L35" i="34" s="1"/>
  <c r="F34" i="34"/>
  <c r="L34" i="34" s="1"/>
  <c r="F33" i="34"/>
  <c r="L33" i="34" s="1"/>
  <c r="F32" i="34"/>
  <c r="L32" i="34" s="1"/>
  <c r="F31" i="34"/>
  <c r="L31" i="34" s="1"/>
  <c r="F30" i="34"/>
  <c r="L30" i="34" s="1"/>
  <c r="F29" i="34"/>
  <c r="L29" i="34" s="1"/>
  <c r="F28" i="34"/>
  <c r="L28" i="34" s="1"/>
  <c r="F27" i="34"/>
  <c r="L27" i="34" s="1"/>
  <c r="F26" i="34"/>
  <c r="L26" i="34" s="1"/>
  <c r="F24" i="34"/>
  <c r="F23" i="34"/>
  <c r="F21" i="34"/>
  <c r="F15" i="34"/>
  <c r="L15" i="34" s="1"/>
  <c r="F16" i="34"/>
  <c r="L16" i="34" s="1"/>
  <c r="F14" i="34"/>
  <c r="L14" i="34" s="1"/>
  <c r="F10" i="34"/>
  <c r="F9" i="34"/>
  <c r="F11" i="34" s="1"/>
  <c r="L10" i="34"/>
  <c r="L54" i="34"/>
  <c r="L55" i="34"/>
  <c r="L56" i="34"/>
  <c r="L57" i="34"/>
  <c r="L50" i="3"/>
  <c r="D7" i="78" s="1"/>
  <c r="F7" i="78" s="1"/>
  <c r="L43" i="3"/>
  <c r="H39" i="3"/>
  <c r="H44" i="3" s="1"/>
  <c r="F39" i="3"/>
  <c r="F44" i="3" s="1"/>
  <c r="L15" i="3"/>
  <c r="L14" i="3"/>
  <c r="L13" i="3"/>
  <c r="H11" i="3"/>
  <c r="H16" i="3" s="1"/>
  <c r="F11" i="3"/>
  <c r="F16" i="3" s="1"/>
  <c r="L10" i="3"/>
  <c r="L9" i="3"/>
  <c r="C4" i="3"/>
  <c r="H11" i="34"/>
  <c r="H17" i="34" s="1"/>
  <c r="L9" i="34" l="1"/>
  <c r="F17" i="34"/>
  <c r="L52" i="3"/>
  <c r="L39" i="3"/>
  <c r="L44" i="3" s="1"/>
  <c r="L48" i="3" s="1"/>
  <c r="L11" i="3"/>
  <c r="L16" i="3" s="1"/>
  <c r="F45" i="3"/>
  <c r="H45" i="3"/>
  <c r="L11" i="34"/>
  <c r="L59" i="34" s="1"/>
  <c r="L53" i="34"/>
  <c r="N20" i="16"/>
  <c r="M19" i="16"/>
  <c r="M8" i="16"/>
  <c r="M9" i="16"/>
  <c r="M10" i="16"/>
  <c r="M11" i="16"/>
  <c r="M12" i="16"/>
  <c r="M13" i="16"/>
  <c r="M14" i="16"/>
  <c r="M15" i="16"/>
  <c r="M16" i="16"/>
  <c r="M17" i="16"/>
  <c r="M18" i="16"/>
  <c r="M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7" i="16"/>
  <c r="L17" i="34" l="1"/>
  <c r="L56" i="3"/>
  <c r="L45" i="3"/>
  <c r="L51" i="3"/>
  <c r="L55" i="3" s="1"/>
  <c r="P10" i="76" l="1"/>
  <c r="O10" i="77"/>
  <c r="L57" i="3"/>
  <c r="O10" i="15"/>
  <c r="F25" i="16"/>
  <c r="E25" i="16"/>
  <c r="D19" i="16"/>
  <c r="L58" i="3" l="1"/>
  <c r="O8" i="2" l="1"/>
  <c r="S6" i="75"/>
  <c r="S7" i="75" s="1"/>
  <c r="S6" i="74"/>
  <c r="S7" i="74" s="1"/>
  <c r="P63" i="2"/>
  <c r="R63" i="2" s="1"/>
  <c r="P62" i="2"/>
  <c r="R62" i="2" s="1"/>
  <c r="P61" i="2"/>
  <c r="R61" i="2" s="1"/>
  <c r="P43" i="2"/>
  <c r="R43" i="2" s="1"/>
  <c r="L43" i="2" s="1"/>
  <c r="P21" i="2"/>
  <c r="R21" i="2" s="1"/>
  <c r="P50" i="2"/>
  <c r="R50" i="2" s="1"/>
  <c r="P38" i="2"/>
  <c r="R38" i="2" s="1"/>
  <c r="P37" i="2"/>
  <c r="R37" i="2" s="1"/>
  <c r="L37" i="2" s="1"/>
  <c r="P31" i="2"/>
  <c r="R31" i="2" s="1"/>
  <c r="L31" i="2" s="1"/>
  <c r="J22" i="85" s="1"/>
  <c r="P49" i="2"/>
  <c r="R49" i="2" s="1"/>
  <c r="L49" i="2" s="1"/>
  <c r="P45" i="2"/>
  <c r="R45" i="2" s="1"/>
  <c r="P34" i="2"/>
  <c r="R34" i="2" s="1"/>
  <c r="P22" i="2"/>
  <c r="R22" i="2" s="1"/>
  <c r="P27" i="2"/>
  <c r="R27" i="2" s="1"/>
  <c r="P56" i="2"/>
  <c r="R56" i="2" s="1"/>
  <c r="P15" i="2"/>
  <c r="R15" i="2" s="1"/>
  <c r="L15" i="2" s="1"/>
  <c r="P54" i="2"/>
  <c r="R54" i="2" s="1"/>
  <c r="L54" i="2" s="1"/>
  <c r="P39" i="2"/>
  <c r="R39" i="2" s="1"/>
  <c r="P32" i="2"/>
  <c r="R32" i="2" s="1"/>
  <c r="P25" i="2"/>
  <c r="R25" i="2" s="1"/>
  <c r="L25" i="2" s="1"/>
  <c r="P14" i="2"/>
  <c r="R14" i="2" s="1"/>
  <c r="L14" i="2" s="1"/>
  <c r="P26" i="2"/>
  <c r="R26" i="2" s="1"/>
  <c r="Q16" i="2"/>
  <c r="P18" i="2"/>
  <c r="R18" i="2" s="1"/>
  <c r="L18" i="2" s="1"/>
  <c r="P44" i="2"/>
  <c r="R44" i="2" s="1"/>
  <c r="P11" i="2"/>
  <c r="R11" i="2" s="1"/>
  <c r="L11" i="2" s="1"/>
  <c r="P46" i="2"/>
  <c r="R46" i="2" s="1"/>
  <c r="P55" i="2"/>
  <c r="R55" i="2" s="1"/>
  <c r="P20" i="2"/>
  <c r="R20" i="2" s="1"/>
  <c r="P12" i="2"/>
  <c r="R12" i="2" s="1"/>
  <c r="L12" i="2" s="1"/>
  <c r="P33" i="2"/>
  <c r="R33" i="2" s="1"/>
  <c r="P40" i="2"/>
  <c r="R40" i="2" s="1"/>
  <c r="P19" i="2"/>
  <c r="R19" i="2" s="1"/>
  <c r="P28" i="2"/>
  <c r="R28" i="2" s="1"/>
  <c r="P51" i="2"/>
  <c r="R51" i="2" s="1"/>
  <c r="P13" i="2"/>
  <c r="R13" i="2" s="1"/>
  <c r="L13" i="2" s="1"/>
  <c r="T62" i="74" l="1"/>
  <c r="V62" i="74" s="1"/>
  <c r="L62" i="74" s="1"/>
  <c r="G128" i="92" s="1"/>
  <c r="I128" i="92" s="1"/>
  <c r="I129" i="92" s="1"/>
  <c r="I20" i="92" s="1"/>
  <c r="T63" i="74"/>
  <c r="V63" i="74" s="1"/>
  <c r="L63" i="74" s="1"/>
  <c r="G133" i="92" s="1"/>
  <c r="I133" i="92" s="1"/>
  <c r="I134" i="92" s="1"/>
  <c r="I21" i="92" s="1"/>
  <c r="T64" i="74"/>
  <c r="V64" i="74" s="1"/>
  <c r="L64" i="74" s="1"/>
  <c r="T65" i="74"/>
  <c r="V65" i="74" s="1"/>
  <c r="L65" i="74" s="1"/>
  <c r="T66" i="74"/>
  <c r="V66" i="74" s="1"/>
  <c r="L66" i="74" s="1"/>
  <c r="T61" i="74"/>
  <c r="V61" i="74" s="1"/>
  <c r="L61" i="74" s="1"/>
  <c r="G123" i="92" s="1"/>
  <c r="I123" i="92" s="1"/>
  <c r="I124" i="92" s="1"/>
  <c r="I19" i="92" s="1"/>
  <c r="I22" i="92" s="1"/>
  <c r="I25" i="92" s="1"/>
  <c r="T60" i="74"/>
  <c r="V60" i="74" s="1"/>
  <c r="L60" i="74" s="1"/>
  <c r="T25" i="74"/>
  <c r="V25" i="74" s="1"/>
  <c r="L25" i="74" s="1"/>
  <c r="G71" i="92" s="1"/>
  <c r="I71" i="92" s="1"/>
  <c r="T11" i="74"/>
  <c r="V11" i="74" s="1"/>
  <c r="L11" i="74" s="1"/>
  <c r="G40" i="92" s="1"/>
  <c r="I40" i="92" s="1"/>
  <c r="T59" i="74"/>
  <c r="V59" i="74" s="1"/>
  <c r="L59" i="74" s="1"/>
  <c r="T18" i="74"/>
  <c r="V18" i="74" s="1"/>
  <c r="L18" i="74" s="1"/>
  <c r="G56" i="92" s="1"/>
  <c r="I56" i="92" s="1"/>
  <c r="T13" i="74"/>
  <c r="V13" i="74" s="1"/>
  <c r="L13" i="74" s="1"/>
  <c r="G42" i="92" s="1"/>
  <c r="I42" i="92" s="1"/>
  <c r="T14" i="74"/>
  <c r="V14" i="74" s="1"/>
  <c r="L14" i="74" s="1"/>
  <c r="G43" i="92" s="1"/>
  <c r="I43" i="92" s="1"/>
  <c r="T31" i="74"/>
  <c r="V31" i="74" s="1"/>
  <c r="L31" i="74" s="1"/>
  <c r="G87" i="92" s="1"/>
  <c r="I87" i="92" s="1"/>
  <c r="T15" i="74"/>
  <c r="V15" i="74" s="1"/>
  <c r="L15" i="74" s="1"/>
  <c r="G44" i="92" s="1"/>
  <c r="I44" i="92" s="1"/>
  <c r="T12" i="74"/>
  <c r="V12" i="74" s="1"/>
  <c r="L12" i="74" s="1"/>
  <c r="G41" i="92" s="1"/>
  <c r="I41" i="92" s="1"/>
  <c r="T54" i="74"/>
  <c r="V54" i="74" s="1"/>
  <c r="L54" i="74" s="1"/>
  <c r="T43" i="74"/>
  <c r="V43" i="74" s="1"/>
  <c r="L43" i="74" s="1"/>
  <c r="G102" i="92" s="1"/>
  <c r="I102" i="92" s="1"/>
  <c r="T49" i="74"/>
  <c r="V49" i="74" s="1"/>
  <c r="L49" i="74" s="1"/>
  <c r="G116" i="92" s="1"/>
  <c r="I116" i="92" s="1"/>
  <c r="T37" i="74"/>
  <c r="V37" i="74" s="1"/>
  <c r="L37" i="74" s="1"/>
  <c r="P65" i="2"/>
  <c r="R65" i="2" s="1"/>
  <c r="L65" i="2" s="1"/>
  <c r="P64" i="2"/>
  <c r="R64" i="2" s="1"/>
  <c r="L64" i="2" s="1"/>
  <c r="P60" i="2"/>
  <c r="R60" i="2" s="1"/>
  <c r="L60" i="2" s="1"/>
  <c r="P66" i="2"/>
  <c r="R66" i="2" s="1"/>
  <c r="L66" i="2" s="1"/>
  <c r="P59" i="2"/>
  <c r="R59" i="2" s="1"/>
  <c r="L59" i="2" s="1"/>
  <c r="J37" i="85"/>
  <c r="P51" i="80"/>
  <c r="X49" i="75"/>
  <c r="P29" i="80"/>
  <c r="X31" i="75"/>
  <c r="J7" i="85"/>
  <c r="N7" i="85" s="1"/>
  <c r="P7" i="85" s="1"/>
  <c r="P11" i="80"/>
  <c r="X13" i="75"/>
  <c r="J27" i="85"/>
  <c r="N27" i="85" s="1"/>
  <c r="P27" i="85" s="1"/>
  <c r="P35" i="80"/>
  <c r="X37" i="75"/>
  <c r="J41" i="85"/>
  <c r="N41" i="85" s="1"/>
  <c r="P41" i="85" s="1"/>
  <c r="P56" i="80"/>
  <c r="X54" i="75"/>
  <c r="J11" i="85"/>
  <c r="P16" i="80"/>
  <c r="X18" i="75"/>
  <c r="J17" i="85"/>
  <c r="P23" i="80"/>
  <c r="X25" i="75"/>
  <c r="J9" i="85"/>
  <c r="N9" i="85" s="1"/>
  <c r="P9" i="85" s="1"/>
  <c r="P13" i="80"/>
  <c r="X15" i="75"/>
  <c r="J32" i="85"/>
  <c r="P41" i="80"/>
  <c r="X43" i="75"/>
  <c r="J6" i="85"/>
  <c r="P10" i="80"/>
  <c r="X12" i="75"/>
  <c r="J8" i="85"/>
  <c r="N8" i="85" s="1"/>
  <c r="P8" i="85" s="1"/>
  <c r="P12" i="80"/>
  <c r="X14" i="75"/>
  <c r="J5" i="85"/>
  <c r="P9" i="80"/>
  <c r="X11" i="75"/>
  <c r="G45" i="15"/>
  <c r="I45" i="15" s="1"/>
  <c r="G46" i="15"/>
  <c r="I46" i="15" s="1"/>
  <c r="G63" i="65"/>
  <c r="Y59" i="65" s="1"/>
  <c r="G49" i="15"/>
  <c r="I49" i="15" s="1"/>
  <c r="G48" i="15"/>
  <c r="I48" i="15" s="1"/>
  <c r="G47" i="15"/>
  <c r="I47" i="15" s="1"/>
  <c r="G125" i="15"/>
  <c r="I125" i="15" s="1"/>
  <c r="G96" i="15"/>
  <c r="I96" i="15" s="1"/>
  <c r="G81" i="15"/>
  <c r="I81" i="15" s="1"/>
  <c r="G111" i="15"/>
  <c r="I111" i="15" s="1"/>
  <c r="G134" i="15"/>
  <c r="I134" i="15" s="1"/>
  <c r="I135" i="15" s="1"/>
  <c r="G23" i="15" s="1"/>
  <c r="L61" i="2"/>
  <c r="G139" i="15"/>
  <c r="I139" i="15" s="1"/>
  <c r="I140" i="15" s="1"/>
  <c r="G24" i="15" s="1"/>
  <c r="L62" i="2"/>
  <c r="G65" i="15"/>
  <c r="I65" i="15" s="1"/>
  <c r="G144" i="15"/>
  <c r="I144" i="15" s="1"/>
  <c r="I145" i="15" s="1"/>
  <c r="G25" i="15" s="1"/>
  <c r="L63" i="2"/>
  <c r="L19" i="2"/>
  <c r="L22" i="2"/>
  <c r="L20" i="2"/>
  <c r="L21" i="2"/>
  <c r="I27" i="92" l="1"/>
  <c r="I26" i="93"/>
  <c r="I45" i="92"/>
  <c r="I6" i="92" s="1"/>
  <c r="J47" i="85"/>
  <c r="X61" i="75"/>
  <c r="J46" i="85"/>
  <c r="X60" i="75"/>
  <c r="I15" i="90"/>
  <c r="I17" i="72"/>
  <c r="M17" i="72" s="1"/>
  <c r="N17" i="72" s="1"/>
  <c r="J50" i="85"/>
  <c r="J70" i="85" s="1"/>
  <c r="L70" i="85" s="1"/>
  <c r="N70" i="85" s="1"/>
  <c r="X64" i="75"/>
  <c r="I58" i="72"/>
  <c r="G73" i="87"/>
  <c r="I56" i="90"/>
  <c r="H66" i="82"/>
  <c r="J51" i="85"/>
  <c r="J71" i="85" s="1"/>
  <c r="L71" i="85" s="1"/>
  <c r="N71" i="85" s="1"/>
  <c r="X65" i="75"/>
  <c r="I8" i="90"/>
  <c r="I10" i="72"/>
  <c r="J52" i="85"/>
  <c r="J72" i="85" s="1"/>
  <c r="L72" i="85" s="1"/>
  <c r="N72" i="85" s="1"/>
  <c r="X66" i="75"/>
  <c r="I36" i="72"/>
  <c r="M36" i="72" s="1"/>
  <c r="N36" i="72" s="1"/>
  <c r="I34" i="90"/>
  <c r="I22" i="90"/>
  <c r="I24" i="72"/>
  <c r="M24" i="72" s="1"/>
  <c r="N24" i="72" s="1"/>
  <c r="I12" i="72"/>
  <c r="I10" i="90"/>
  <c r="I48" i="72"/>
  <c r="I46" i="90"/>
  <c r="O60" i="74"/>
  <c r="Q60" i="74" s="1"/>
  <c r="I59" i="72"/>
  <c r="M59" i="72" s="1"/>
  <c r="N59" i="72" s="1"/>
  <c r="I57" i="90"/>
  <c r="H67" i="82"/>
  <c r="G74" i="87"/>
  <c r="F60" i="75"/>
  <c r="J46" i="79"/>
  <c r="I40" i="90"/>
  <c r="I42" i="72"/>
  <c r="M42" i="72" s="1"/>
  <c r="N42" i="72" s="1"/>
  <c r="O61" i="74"/>
  <c r="Q61" i="74" s="1"/>
  <c r="I58" i="90"/>
  <c r="I60" i="72"/>
  <c r="M60" i="72" s="1"/>
  <c r="N60" i="72" s="1"/>
  <c r="G75" i="87"/>
  <c r="H68" i="82"/>
  <c r="J47" i="79"/>
  <c r="F61" i="75"/>
  <c r="J49" i="85"/>
  <c r="X63" i="75"/>
  <c r="I51" i="90"/>
  <c r="I53" i="72"/>
  <c r="M53" i="72" s="1"/>
  <c r="N53" i="72" s="1"/>
  <c r="O66" i="74"/>
  <c r="Q66" i="74" s="1"/>
  <c r="G80" i="87"/>
  <c r="H73" i="82"/>
  <c r="F73" i="86" s="1"/>
  <c r="I65" i="72"/>
  <c r="M65" i="72" s="1"/>
  <c r="N65" i="72" s="1"/>
  <c r="I63" i="90"/>
  <c r="J52" i="79"/>
  <c r="J72" i="79" s="1"/>
  <c r="L72" i="79" s="1"/>
  <c r="N72" i="79" s="1"/>
  <c r="F66" i="75"/>
  <c r="I11" i="72"/>
  <c r="I9" i="90"/>
  <c r="O65" i="74"/>
  <c r="Q65" i="74" s="1"/>
  <c r="H72" i="82"/>
  <c r="F72" i="86" s="1"/>
  <c r="I62" i="90"/>
  <c r="I64" i="72"/>
  <c r="M64" i="72" s="1"/>
  <c r="N64" i="72" s="1"/>
  <c r="G79" i="87"/>
  <c r="J51" i="79"/>
  <c r="J71" i="79" s="1"/>
  <c r="L71" i="79" s="1"/>
  <c r="N71" i="79" s="1"/>
  <c r="F65" i="75"/>
  <c r="I14" i="72"/>
  <c r="I12" i="90"/>
  <c r="O64" i="74"/>
  <c r="Q64" i="74" s="1"/>
  <c r="I61" i="90"/>
  <c r="I63" i="72"/>
  <c r="M63" i="72" s="1"/>
  <c r="N63" i="72" s="1"/>
  <c r="H71" i="82"/>
  <c r="F71" i="86" s="1"/>
  <c r="G78" i="87"/>
  <c r="F64" i="75"/>
  <c r="J50" i="79"/>
  <c r="J70" i="79" s="1"/>
  <c r="L70" i="79" s="1"/>
  <c r="N70" i="79" s="1"/>
  <c r="J48" i="85"/>
  <c r="X62" i="75"/>
  <c r="I28" i="90"/>
  <c r="I30" i="72"/>
  <c r="M30" i="72" s="1"/>
  <c r="N30" i="72" s="1"/>
  <c r="I62" i="72"/>
  <c r="M62" i="72" s="1"/>
  <c r="N62" i="72" s="1"/>
  <c r="I60" i="90"/>
  <c r="G77" i="87"/>
  <c r="H70" i="82"/>
  <c r="J49" i="79"/>
  <c r="O63" i="74"/>
  <c r="Q63" i="74" s="1"/>
  <c r="F63" i="75"/>
  <c r="J45" i="85"/>
  <c r="X59" i="75"/>
  <c r="I13" i="72"/>
  <c r="I11" i="90"/>
  <c r="O62" i="74"/>
  <c r="Q62" i="74" s="1"/>
  <c r="I59" i="90"/>
  <c r="G76" i="87"/>
  <c r="H69" i="82"/>
  <c r="I61" i="72"/>
  <c r="M61" i="72" s="1"/>
  <c r="N61" i="72" s="1"/>
  <c r="J48" i="79"/>
  <c r="F62" i="75"/>
  <c r="F59" i="75"/>
  <c r="J45" i="79"/>
  <c r="J5" i="79"/>
  <c r="I9" i="80"/>
  <c r="S9" i="80" s="1"/>
  <c r="U9" i="80" s="1"/>
  <c r="H45" i="76"/>
  <c r="J45" i="76" s="1"/>
  <c r="O11" i="74"/>
  <c r="Q11" i="74" s="1"/>
  <c r="F11" i="75"/>
  <c r="O43" i="74"/>
  <c r="Q43" i="74" s="1"/>
  <c r="I41" i="80"/>
  <c r="S41" i="80" s="1"/>
  <c r="U41" i="80" s="1"/>
  <c r="J32" i="79"/>
  <c r="F43" i="75"/>
  <c r="H111" i="76"/>
  <c r="J111" i="76" s="1"/>
  <c r="O54" i="74"/>
  <c r="Q54" i="74" s="1"/>
  <c r="J41" i="79"/>
  <c r="N41" i="79" s="1"/>
  <c r="P41" i="79" s="1"/>
  <c r="I56" i="80"/>
  <c r="S56" i="80" s="1"/>
  <c r="F54" i="75"/>
  <c r="J6" i="79"/>
  <c r="I10" i="80"/>
  <c r="S10" i="80" s="1"/>
  <c r="U10" i="80" s="1"/>
  <c r="H46" i="76"/>
  <c r="F12" i="75"/>
  <c r="L19" i="74"/>
  <c r="G57" i="92" s="1"/>
  <c r="I57" i="92" s="1"/>
  <c r="O12" i="74"/>
  <c r="Q12" i="74" s="1"/>
  <c r="J9" i="79"/>
  <c r="N9" i="79" s="1"/>
  <c r="P9" i="79" s="1"/>
  <c r="I13" i="80"/>
  <c r="S13" i="80" s="1"/>
  <c r="U13" i="80" s="1"/>
  <c r="F15" i="75"/>
  <c r="H49" i="76"/>
  <c r="O15" i="74"/>
  <c r="Q15" i="74" s="1"/>
  <c r="L22" i="74"/>
  <c r="G60" i="92" s="1"/>
  <c r="I60" i="92" s="1"/>
  <c r="O31" i="74"/>
  <c r="Q31" i="74" s="1"/>
  <c r="I29" i="80"/>
  <c r="S29" i="80" s="1"/>
  <c r="U29" i="80" s="1"/>
  <c r="J22" i="79"/>
  <c r="H96" i="76"/>
  <c r="J96" i="76" s="1"/>
  <c r="F31" i="75"/>
  <c r="J8" i="79"/>
  <c r="N8" i="79" s="1"/>
  <c r="P8" i="79" s="1"/>
  <c r="I12" i="80"/>
  <c r="S12" i="80" s="1"/>
  <c r="U12" i="80" s="1"/>
  <c r="F14" i="75"/>
  <c r="H48" i="76"/>
  <c r="L21" i="74"/>
  <c r="G59" i="92" s="1"/>
  <c r="I59" i="92" s="1"/>
  <c r="O14" i="74"/>
  <c r="Q14" i="74" s="1"/>
  <c r="I11" i="80"/>
  <c r="S11" i="80" s="1"/>
  <c r="U11" i="80" s="1"/>
  <c r="J7" i="79"/>
  <c r="N7" i="79" s="1"/>
  <c r="P7" i="79" s="1"/>
  <c r="F13" i="75"/>
  <c r="H47" i="76"/>
  <c r="O13" i="74"/>
  <c r="Q13" i="74" s="1"/>
  <c r="L20" i="74"/>
  <c r="G58" i="92" s="1"/>
  <c r="I58" i="92" s="1"/>
  <c r="N51" i="85"/>
  <c r="P51" i="85" s="1"/>
  <c r="J11" i="79"/>
  <c r="I16" i="80"/>
  <c r="S16" i="80" s="1"/>
  <c r="U16" i="80" s="1"/>
  <c r="O18" i="74"/>
  <c r="Q18" i="74" s="1"/>
  <c r="H65" i="76"/>
  <c r="J65" i="76" s="1"/>
  <c r="F18" i="75"/>
  <c r="O37" i="74"/>
  <c r="Q37" i="74" s="1"/>
  <c r="J27" i="79"/>
  <c r="N27" i="79" s="1"/>
  <c r="P27" i="79" s="1"/>
  <c r="I35" i="80"/>
  <c r="S35" i="80" s="1"/>
  <c r="U35" i="80" s="1"/>
  <c r="F37" i="75"/>
  <c r="O59" i="74"/>
  <c r="Q59" i="74" s="1"/>
  <c r="I61" i="80"/>
  <c r="H134" i="76"/>
  <c r="J134" i="76" s="1"/>
  <c r="J135" i="76" s="1"/>
  <c r="H23" i="76" s="1"/>
  <c r="O49" i="74"/>
  <c r="Q49" i="74" s="1"/>
  <c r="J37" i="79"/>
  <c r="I51" i="80"/>
  <c r="S51" i="80" s="1"/>
  <c r="H125" i="76"/>
  <c r="J125" i="76" s="1"/>
  <c r="F49" i="75"/>
  <c r="I62" i="80"/>
  <c r="H139" i="76"/>
  <c r="J139" i="76" s="1"/>
  <c r="J140" i="76" s="1"/>
  <c r="H24" i="76" s="1"/>
  <c r="O25" i="74"/>
  <c r="Q25" i="74" s="1"/>
  <c r="J17" i="79"/>
  <c r="I23" i="80"/>
  <c r="S23" i="80" s="1"/>
  <c r="U23" i="80" s="1"/>
  <c r="H81" i="76"/>
  <c r="J81" i="76" s="1"/>
  <c r="F25" i="75"/>
  <c r="I63" i="80"/>
  <c r="H144" i="76"/>
  <c r="J144" i="76" s="1"/>
  <c r="J145" i="76" s="1"/>
  <c r="H25" i="76" s="1"/>
  <c r="N22" i="85"/>
  <c r="P22" i="85" s="1"/>
  <c r="V22" i="85"/>
  <c r="W35" i="80"/>
  <c r="Y35" i="80" s="1"/>
  <c r="P63" i="80"/>
  <c r="G24" i="67"/>
  <c r="S24" i="67" s="1"/>
  <c r="S32" i="67" s="1"/>
  <c r="W23" i="80"/>
  <c r="Y23" i="80" s="1"/>
  <c r="G31" i="65"/>
  <c r="V30" i="65" s="1"/>
  <c r="P17" i="80"/>
  <c r="W10" i="80"/>
  <c r="Y10" i="80" s="1"/>
  <c r="V16" i="85"/>
  <c r="N17" i="85"/>
  <c r="P17" i="85" s="1"/>
  <c r="G32" i="65"/>
  <c r="W30" i="65" s="1"/>
  <c r="P18" i="80"/>
  <c r="W11" i="80"/>
  <c r="Y11" i="80" s="1"/>
  <c r="N6" i="85"/>
  <c r="P6" i="85" s="1"/>
  <c r="V6" i="85"/>
  <c r="G31" i="66"/>
  <c r="T31" i="66" s="1"/>
  <c r="T43" i="66" s="1"/>
  <c r="W16" i="80"/>
  <c r="Y16" i="80" s="1"/>
  <c r="W12" i="80"/>
  <c r="Y12" i="80" s="1"/>
  <c r="G33" i="65"/>
  <c r="X30" i="65" s="1"/>
  <c r="P19" i="80"/>
  <c r="V11" i="85"/>
  <c r="N11" i="85"/>
  <c r="P11" i="85" s="1"/>
  <c r="G66" i="15"/>
  <c r="I66" i="15" s="1"/>
  <c r="J12" i="85"/>
  <c r="P62" i="80"/>
  <c r="P61" i="80"/>
  <c r="G21" i="69"/>
  <c r="S21" i="69" s="1"/>
  <c r="S28" i="69" s="1"/>
  <c r="S29" i="69" s="1"/>
  <c r="W41" i="80"/>
  <c r="Y41" i="80" s="1"/>
  <c r="G25" i="68"/>
  <c r="S25" i="68" s="1"/>
  <c r="S33" i="68" s="1"/>
  <c r="S34" i="68" s="1"/>
  <c r="S35" i="68" s="1"/>
  <c r="S36" i="68" s="1"/>
  <c r="S37" i="68" s="1"/>
  <c r="W29" i="80"/>
  <c r="Y29" i="80" s="1"/>
  <c r="J15" i="85"/>
  <c r="N15" i="85" s="1"/>
  <c r="P15" i="85" s="1"/>
  <c r="G30" i="65"/>
  <c r="U30" i="65" s="1"/>
  <c r="U42" i="65" s="1"/>
  <c r="W9" i="80"/>
  <c r="Y9" i="80" s="1"/>
  <c r="V32" i="85"/>
  <c r="N32" i="85"/>
  <c r="P32" i="85" s="1"/>
  <c r="W56" i="80"/>
  <c r="Y56" i="80" s="1"/>
  <c r="G23" i="70"/>
  <c r="R23" i="70" s="1"/>
  <c r="R30" i="70" s="1"/>
  <c r="R31" i="70" s="1"/>
  <c r="N5" i="85"/>
  <c r="P5" i="85" s="1"/>
  <c r="V5" i="85"/>
  <c r="W51" i="80"/>
  <c r="Y51" i="80" s="1"/>
  <c r="J14" i="85"/>
  <c r="N14" i="85" s="1"/>
  <c r="P14" i="85" s="1"/>
  <c r="J13" i="85"/>
  <c r="G34" i="65"/>
  <c r="Y30" i="65" s="1"/>
  <c r="W13" i="80"/>
  <c r="Y13" i="80" s="1"/>
  <c r="P20" i="80"/>
  <c r="N37" i="85"/>
  <c r="P37" i="85" s="1"/>
  <c r="J63" i="85"/>
  <c r="L63" i="85" s="1"/>
  <c r="N63" i="85" s="1"/>
  <c r="G68" i="66"/>
  <c r="X64" i="66" s="1"/>
  <c r="G53" i="68"/>
  <c r="S53" i="68" s="1"/>
  <c r="S61" i="68" s="1"/>
  <c r="G52" i="70"/>
  <c r="R52" i="70" s="1"/>
  <c r="R59" i="70" s="1"/>
  <c r="R60" i="70" s="1"/>
  <c r="G53" i="69"/>
  <c r="S53" i="69" s="1"/>
  <c r="S60" i="69" s="1"/>
  <c r="S61" i="69" s="1"/>
  <c r="G59" i="65"/>
  <c r="U59" i="65" s="1"/>
  <c r="U71" i="65" s="1"/>
  <c r="G61" i="65"/>
  <c r="W59" i="65" s="1"/>
  <c r="G67" i="66"/>
  <c r="W64" i="66" s="1"/>
  <c r="G62" i="65"/>
  <c r="X59" i="65" s="1"/>
  <c r="Y79" i="65"/>
  <c r="Y80" i="65"/>
  <c r="X84" i="66"/>
  <c r="X85" i="66"/>
  <c r="G64" i="66"/>
  <c r="T64" i="66" s="1"/>
  <c r="T76" i="66" s="1"/>
  <c r="G60" i="65"/>
  <c r="V59" i="65" s="1"/>
  <c r="G26" i="15"/>
  <c r="G29" i="15" s="1"/>
  <c r="I50" i="15"/>
  <c r="G9" i="15" s="1"/>
  <c r="L26" i="2"/>
  <c r="G67" i="15"/>
  <c r="I67" i="15" s="1"/>
  <c r="L28" i="2"/>
  <c r="G69" i="15"/>
  <c r="I69" i="15" s="1"/>
  <c r="G68" i="15"/>
  <c r="I68" i="15" s="1"/>
  <c r="L27" i="2"/>
  <c r="F41" i="34"/>
  <c r="F44" i="34" s="1"/>
  <c r="C4" i="34"/>
  <c r="E40" i="26"/>
  <c r="E42" i="26"/>
  <c r="E37" i="26"/>
  <c r="K38" i="26" s="1"/>
  <c r="E32" i="26"/>
  <c r="H32" i="26" s="1"/>
  <c r="E33" i="26"/>
  <c r="H33" i="26" s="1"/>
  <c r="E34" i="26"/>
  <c r="H34" i="26" s="1"/>
  <c r="E35" i="26"/>
  <c r="H35" i="26" s="1"/>
  <c r="E36" i="26"/>
  <c r="H36" i="26" s="1"/>
  <c r="E31" i="26"/>
  <c r="E27" i="26"/>
  <c r="K29" i="26" s="1"/>
  <c r="F24" i="26"/>
  <c r="E25" i="26"/>
  <c r="E24" i="26"/>
  <c r="K24" i="26" s="1"/>
  <c r="E22" i="26"/>
  <c r="K23" i="26" s="1"/>
  <c r="F16" i="26"/>
  <c r="F15" i="26"/>
  <c r="H13" i="26"/>
  <c r="H14" i="26"/>
  <c r="E16" i="26"/>
  <c r="E17" i="26"/>
  <c r="E15" i="26"/>
  <c r="E9" i="26"/>
  <c r="K12" i="26" s="1"/>
  <c r="N15" i="34"/>
  <c r="N50" i="85" l="1"/>
  <c r="P50" i="85" s="1"/>
  <c r="N52" i="85"/>
  <c r="P52" i="85" s="1"/>
  <c r="I61" i="92"/>
  <c r="I7" i="92" s="1"/>
  <c r="V50" i="85"/>
  <c r="W50" i="85" s="1"/>
  <c r="X50" i="85" s="1"/>
  <c r="F66" i="86"/>
  <c r="J66" i="82"/>
  <c r="L66" i="82" s="1"/>
  <c r="N45" i="85"/>
  <c r="P45" i="85" s="1"/>
  <c r="J65" i="85"/>
  <c r="L65" i="85" s="1"/>
  <c r="N65" i="85" s="1"/>
  <c r="L56" i="90"/>
  <c r="N56" i="90" s="1"/>
  <c r="F56" i="91"/>
  <c r="M80" i="87"/>
  <c r="I80" i="87"/>
  <c r="K80" i="87" s="1"/>
  <c r="O63" i="75"/>
  <c r="Q63" i="75" s="1"/>
  <c r="S63" i="75"/>
  <c r="T63" i="75" s="1"/>
  <c r="V63" i="75" s="1"/>
  <c r="F49" i="84"/>
  <c r="H70" i="84" s="1"/>
  <c r="O64" i="75"/>
  <c r="Q64" i="75" s="1"/>
  <c r="F50" i="84"/>
  <c r="H71" i="84" s="1"/>
  <c r="S64" i="75"/>
  <c r="T64" i="75" s="1"/>
  <c r="V64" i="75" s="1"/>
  <c r="F62" i="91"/>
  <c r="L62" i="90"/>
  <c r="N62" i="90" s="1"/>
  <c r="L40" i="90"/>
  <c r="N40" i="90" s="1"/>
  <c r="F40" i="91"/>
  <c r="M73" i="87"/>
  <c r="I73" i="87"/>
  <c r="K73" i="87" s="1"/>
  <c r="F10" i="91"/>
  <c r="L10" i="90"/>
  <c r="N10" i="90" s="1"/>
  <c r="I17" i="90"/>
  <c r="I19" i="72"/>
  <c r="M19" i="72" s="1"/>
  <c r="N19" i="72" s="1"/>
  <c r="S62" i="75"/>
  <c r="T62" i="75" s="1"/>
  <c r="V62" i="75" s="1"/>
  <c r="F48" i="84"/>
  <c r="H69" i="84" s="1"/>
  <c r="O62" i="75"/>
  <c r="Q62" i="75" s="1"/>
  <c r="M78" i="87"/>
  <c r="I78" i="87"/>
  <c r="K78" i="87" s="1"/>
  <c r="F51" i="91"/>
  <c r="L51" i="90"/>
  <c r="N51" i="90" s="1"/>
  <c r="J66" i="79"/>
  <c r="L66" i="79" s="1"/>
  <c r="N66" i="79" s="1"/>
  <c r="N46" i="79"/>
  <c r="P46" i="79" s="1"/>
  <c r="L22" i="90"/>
  <c r="N22" i="90" s="1"/>
  <c r="F22" i="91"/>
  <c r="N48" i="79"/>
  <c r="P48" i="79" s="1"/>
  <c r="J68" i="79"/>
  <c r="L68" i="79" s="1"/>
  <c r="N68" i="79" s="1"/>
  <c r="N49" i="79"/>
  <c r="P49" i="79" s="1"/>
  <c r="J69" i="79"/>
  <c r="L69" i="79" s="1"/>
  <c r="N69" i="79" s="1"/>
  <c r="O60" i="75"/>
  <c r="L60" i="75" s="1"/>
  <c r="F46" i="84"/>
  <c r="S60" i="75"/>
  <c r="T60" i="75" s="1"/>
  <c r="V60" i="75" s="1"/>
  <c r="F34" i="91"/>
  <c r="L34" i="90"/>
  <c r="N34" i="90" s="1"/>
  <c r="I20" i="72"/>
  <c r="M20" i="72" s="1"/>
  <c r="N20" i="72" s="1"/>
  <c r="I18" i="90"/>
  <c r="F70" i="86"/>
  <c r="J70" i="82"/>
  <c r="L70" i="82" s="1"/>
  <c r="F9" i="91"/>
  <c r="L9" i="90"/>
  <c r="N9" i="90" s="1"/>
  <c r="N49" i="85"/>
  <c r="P49" i="85" s="1"/>
  <c r="J69" i="85"/>
  <c r="L69" i="85" s="1"/>
  <c r="N69" i="85" s="1"/>
  <c r="M74" i="87"/>
  <c r="I74" i="87"/>
  <c r="K74" i="87" s="1"/>
  <c r="J12" i="79"/>
  <c r="V12" i="79" s="1"/>
  <c r="I16" i="90"/>
  <c r="I18" i="72"/>
  <c r="M18" i="72" s="1"/>
  <c r="N18" i="72" s="1"/>
  <c r="F69" i="86"/>
  <c r="J69" i="82"/>
  <c r="L69" i="82" s="1"/>
  <c r="M77" i="87"/>
  <c r="I77" i="87"/>
  <c r="K77" i="87" s="1"/>
  <c r="F61" i="91"/>
  <c r="L61" i="90"/>
  <c r="N61" i="90" s="1"/>
  <c r="O61" i="75"/>
  <c r="L61" i="75" s="1"/>
  <c r="G123" i="93" s="1"/>
  <c r="I123" i="93" s="1"/>
  <c r="I124" i="93" s="1"/>
  <c r="I19" i="93" s="1"/>
  <c r="S61" i="75"/>
  <c r="T61" i="75" s="1"/>
  <c r="V61" i="75" s="1"/>
  <c r="F47" i="84"/>
  <c r="H68" i="84" s="1"/>
  <c r="F67" i="86"/>
  <c r="J67" i="82"/>
  <c r="L67" i="82" s="1"/>
  <c r="M76" i="87"/>
  <c r="I76" i="87"/>
  <c r="K76" i="87" s="1"/>
  <c r="F60" i="91"/>
  <c r="L60" i="90"/>
  <c r="N60" i="90" s="1"/>
  <c r="S66" i="75"/>
  <c r="T66" i="75" s="1"/>
  <c r="V66" i="75" s="1"/>
  <c r="F52" i="84"/>
  <c r="H73" i="84" s="1"/>
  <c r="O66" i="75"/>
  <c r="Q66" i="75" s="1"/>
  <c r="J67" i="79"/>
  <c r="L67" i="79" s="1"/>
  <c r="N67" i="79" s="1"/>
  <c r="N47" i="79"/>
  <c r="P47" i="79" s="1"/>
  <c r="L57" i="90"/>
  <c r="N57" i="90" s="1"/>
  <c r="F57" i="91"/>
  <c r="F15" i="91"/>
  <c r="L15" i="90"/>
  <c r="N15" i="90" s="1"/>
  <c r="N48" i="85"/>
  <c r="P48" i="85" s="1"/>
  <c r="J68" i="85"/>
  <c r="L68" i="85" s="1"/>
  <c r="N68" i="85" s="1"/>
  <c r="L59" i="90"/>
  <c r="N59" i="90" s="1"/>
  <c r="F59" i="91"/>
  <c r="F12" i="91"/>
  <c r="L12" i="90"/>
  <c r="N12" i="90" s="1"/>
  <c r="F68" i="86"/>
  <c r="J68" i="82"/>
  <c r="L68" i="82" s="1"/>
  <c r="M79" i="87"/>
  <c r="I79" i="87"/>
  <c r="K79" i="87" s="1"/>
  <c r="F63" i="91"/>
  <c r="L63" i="90"/>
  <c r="N63" i="90" s="1"/>
  <c r="M75" i="87"/>
  <c r="I75" i="87"/>
  <c r="K75" i="87" s="1"/>
  <c r="F8" i="91"/>
  <c r="L8" i="90"/>
  <c r="N8" i="90" s="1"/>
  <c r="N46" i="85"/>
  <c r="P46" i="85" s="1"/>
  <c r="J66" i="85"/>
  <c r="L66" i="85" s="1"/>
  <c r="N66" i="85" s="1"/>
  <c r="F11" i="91"/>
  <c r="L11" i="90"/>
  <c r="N11" i="90" s="1"/>
  <c r="L28" i="90"/>
  <c r="N28" i="90" s="1"/>
  <c r="F28" i="91"/>
  <c r="O65" i="75"/>
  <c r="Q65" i="75" s="1"/>
  <c r="S65" i="75"/>
  <c r="T65" i="75" s="1"/>
  <c r="V65" i="75" s="1"/>
  <c r="F51" i="84"/>
  <c r="H72" i="84" s="1"/>
  <c r="F46" i="91"/>
  <c r="L46" i="90"/>
  <c r="N46" i="90" s="1"/>
  <c r="I21" i="72"/>
  <c r="M21" i="72" s="1"/>
  <c r="N21" i="72" s="1"/>
  <c r="I19" i="90"/>
  <c r="L58" i="90"/>
  <c r="N58" i="90" s="1"/>
  <c r="F58" i="91"/>
  <c r="M48" i="72"/>
  <c r="N48" i="72" s="1"/>
  <c r="N47" i="85"/>
  <c r="P47" i="85" s="1"/>
  <c r="J67" i="85"/>
  <c r="L67" i="85" s="1"/>
  <c r="N67" i="85" s="1"/>
  <c r="N45" i="79"/>
  <c r="P45" i="79" s="1"/>
  <c r="J65" i="79"/>
  <c r="L65" i="79" s="1"/>
  <c r="N65" i="79" s="1"/>
  <c r="O59" i="75"/>
  <c r="L59" i="75" s="1"/>
  <c r="S59" i="75"/>
  <c r="T59" i="75" s="1"/>
  <c r="V59" i="75" s="1"/>
  <c r="F45" i="84"/>
  <c r="H66" i="84" s="1"/>
  <c r="L63" i="80"/>
  <c r="N63" i="80" s="1"/>
  <c r="V22" i="79"/>
  <c r="N22" i="79"/>
  <c r="P22" i="79" s="1"/>
  <c r="N37" i="79"/>
  <c r="P37" i="79" s="1"/>
  <c r="J63" i="79"/>
  <c r="L63" i="79" s="1"/>
  <c r="N63" i="79" s="1"/>
  <c r="N52" i="79"/>
  <c r="P52" i="79" s="1"/>
  <c r="Q60" i="75"/>
  <c r="H26" i="76"/>
  <c r="H29" i="76" s="1"/>
  <c r="L16" i="80"/>
  <c r="N16" i="80" s="1"/>
  <c r="G4" i="66"/>
  <c r="G5" i="68"/>
  <c r="L29" i="80"/>
  <c r="N29" i="80" s="1"/>
  <c r="F6" i="84"/>
  <c r="U6" i="84" s="1"/>
  <c r="F19" i="75"/>
  <c r="F12" i="84" s="1"/>
  <c r="U12" i="84" s="1"/>
  <c r="S12" i="75"/>
  <c r="T12" i="75" s="1"/>
  <c r="V12" i="75" s="1"/>
  <c r="L12" i="75" s="1"/>
  <c r="G41" i="93" s="1"/>
  <c r="I41" i="93" s="1"/>
  <c r="F32" i="84"/>
  <c r="U32" i="84" s="1"/>
  <c r="S43" i="75"/>
  <c r="T43" i="75" s="1"/>
  <c r="V43" i="75" s="1"/>
  <c r="L43" i="75" s="1"/>
  <c r="G102" i="93" s="1"/>
  <c r="I102" i="93" s="1"/>
  <c r="F11" i="84"/>
  <c r="U11" i="84" s="1"/>
  <c r="S18" i="75"/>
  <c r="T18" i="75" s="1"/>
  <c r="V18" i="75" s="1"/>
  <c r="L18" i="75" s="1"/>
  <c r="G56" i="93" s="1"/>
  <c r="I56" i="93" s="1"/>
  <c r="L62" i="80"/>
  <c r="N62" i="80" s="1"/>
  <c r="M58" i="72"/>
  <c r="N58" i="72" s="1"/>
  <c r="L61" i="80"/>
  <c r="N61" i="80" s="1"/>
  <c r="V11" i="79"/>
  <c r="N11" i="79"/>
  <c r="P11" i="79" s="1"/>
  <c r="H66" i="76"/>
  <c r="J66" i="76" s="1"/>
  <c r="J46" i="76"/>
  <c r="V32" i="79"/>
  <c r="N32" i="79"/>
  <c r="P32" i="79" s="1"/>
  <c r="N51" i="79"/>
  <c r="P51" i="79" s="1"/>
  <c r="N50" i="79"/>
  <c r="P50" i="79" s="1"/>
  <c r="V50" i="79"/>
  <c r="W50" i="79" s="1"/>
  <c r="X50" i="79" s="1"/>
  <c r="I17" i="80"/>
  <c r="L10" i="80"/>
  <c r="N10" i="80" s="1"/>
  <c r="G5" i="65"/>
  <c r="L41" i="80"/>
  <c r="N41" i="80" s="1"/>
  <c r="G4" i="69"/>
  <c r="I18" i="80"/>
  <c r="L11" i="80"/>
  <c r="N11" i="80" s="1"/>
  <c r="G6" i="65"/>
  <c r="L27" i="74"/>
  <c r="G73" i="92" s="1"/>
  <c r="I73" i="92" s="1"/>
  <c r="J14" i="79"/>
  <c r="N14" i="79" s="1"/>
  <c r="P14" i="79" s="1"/>
  <c r="N6" i="79"/>
  <c r="P6" i="79" s="1"/>
  <c r="V6" i="79"/>
  <c r="F22" i="84"/>
  <c r="U22" i="84" s="1"/>
  <c r="S31" i="75"/>
  <c r="T31" i="75" s="1"/>
  <c r="V31" i="75" s="1"/>
  <c r="L31" i="75" s="1"/>
  <c r="G87" i="93" s="1"/>
  <c r="I87" i="93" s="1"/>
  <c r="F27" i="84"/>
  <c r="S37" i="75"/>
  <c r="T37" i="75" s="1"/>
  <c r="V37" i="75" s="1"/>
  <c r="L37" i="75" s="1"/>
  <c r="L26" i="74"/>
  <c r="G72" i="92" s="1"/>
  <c r="I72" i="92" s="1"/>
  <c r="J13" i="79"/>
  <c r="H68" i="76"/>
  <c r="J48" i="76"/>
  <c r="L28" i="74"/>
  <c r="G74" i="92" s="1"/>
  <c r="I74" i="92" s="1"/>
  <c r="J15" i="79"/>
  <c r="N15" i="79" s="1"/>
  <c r="P15" i="79" s="1"/>
  <c r="S11" i="75"/>
  <c r="T11" i="75" s="1"/>
  <c r="V11" i="75" s="1"/>
  <c r="L11" i="75" s="1"/>
  <c r="G40" i="93" s="1"/>
  <c r="I40" i="93" s="1"/>
  <c r="F5" i="84"/>
  <c r="U5" i="84" s="1"/>
  <c r="V16" i="79"/>
  <c r="N17" i="79"/>
  <c r="P17" i="79" s="1"/>
  <c r="L35" i="80"/>
  <c r="N35" i="80" s="1"/>
  <c r="S14" i="75"/>
  <c r="T14" i="75" s="1"/>
  <c r="V14" i="75" s="1"/>
  <c r="L14" i="75" s="1"/>
  <c r="G43" i="93" s="1"/>
  <c r="I43" i="93" s="1"/>
  <c r="F8" i="84"/>
  <c r="F21" i="75"/>
  <c r="F17" i="84"/>
  <c r="U16" i="84" s="1"/>
  <c r="S25" i="75"/>
  <c r="T25" i="75" s="1"/>
  <c r="V25" i="75" s="1"/>
  <c r="L25" i="75" s="1"/>
  <c r="G71" i="93" s="1"/>
  <c r="I71" i="93" s="1"/>
  <c r="F37" i="84"/>
  <c r="H64" i="84" s="1"/>
  <c r="S49" i="75"/>
  <c r="T49" i="75" s="1"/>
  <c r="V49" i="75" s="1"/>
  <c r="L49" i="75" s="1"/>
  <c r="G116" i="93" s="1"/>
  <c r="I116" i="93" s="1"/>
  <c r="H67" i="76"/>
  <c r="J47" i="76"/>
  <c r="I19" i="80"/>
  <c r="S19" i="80" s="1"/>
  <c r="U19" i="80" s="1"/>
  <c r="L12" i="80"/>
  <c r="N12" i="80" s="1"/>
  <c r="G7" i="65"/>
  <c r="H69" i="76"/>
  <c r="J49" i="76"/>
  <c r="F41" i="84"/>
  <c r="S54" i="75"/>
  <c r="T54" i="75" s="1"/>
  <c r="V54" i="75" s="1"/>
  <c r="L54" i="75" s="1"/>
  <c r="Q61" i="75"/>
  <c r="S13" i="75"/>
  <c r="T13" i="75" s="1"/>
  <c r="V13" i="75" s="1"/>
  <c r="L13" i="75" s="1"/>
  <c r="G42" i="93" s="1"/>
  <c r="I42" i="93" s="1"/>
  <c r="F7" i="84"/>
  <c r="F20" i="75"/>
  <c r="F9" i="84"/>
  <c r="F22" i="75"/>
  <c r="S15" i="75"/>
  <c r="T15" i="75" s="1"/>
  <c r="V15" i="75" s="1"/>
  <c r="L15" i="75" s="1"/>
  <c r="G44" i="93" s="1"/>
  <c r="I44" i="93" s="1"/>
  <c r="L56" i="80"/>
  <c r="N56" i="80" s="1"/>
  <c r="G5" i="70"/>
  <c r="L9" i="80"/>
  <c r="N9" i="80" s="1"/>
  <c r="M10" i="72"/>
  <c r="N10" i="72" s="1"/>
  <c r="G4" i="65"/>
  <c r="L23" i="80"/>
  <c r="N23" i="80" s="1"/>
  <c r="G4" i="67"/>
  <c r="L51" i="80"/>
  <c r="N51" i="80" s="1"/>
  <c r="I20" i="80"/>
  <c r="S20" i="80" s="1"/>
  <c r="U20" i="80" s="1"/>
  <c r="L13" i="80"/>
  <c r="N13" i="80" s="1"/>
  <c r="G8" i="65"/>
  <c r="V5" i="79"/>
  <c r="N5" i="79"/>
  <c r="P5" i="79" s="1"/>
  <c r="Z42" i="65"/>
  <c r="U43" i="65"/>
  <c r="J18" i="85"/>
  <c r="P24" i="80"/>
  <c r="W18" i="80"/>
  <c r="Y18" i="80" s="1"/>
  <c r="G33" i="66"/>
  <c r="V31" i="66" s="1"/>
  <c r="P26" i="80"/>
  <c r="W20" i="80"/>
  <c r="Y20" i="80" s="1"/>
  <c r="G35" i="66"/>
  <c r="X31" i="66" s="1"/>
  <c r="U51" i="80"/>
  <c r="W51" i="65"/>
  <c r="W49" i="65"/>
  <c r="W44" i="65"/>
  <c r="W47" i="65"/>
  <c r="W50" i="65"/>
  <c r="W48" i="65"/>
  <c r="W46" i="65"/>
  <c r="W45" i="65"/>
  <c r="W43" i="65"/>
  <c r="R32" i="70"/>
  <c r="Y43" i="66"/>
  <c r="T44" i="66"/>
  <c r="U56" i="80"/>
  <c r="S61" i="80"/>
  <c r="U61" i="80" s="1"/>
  <c r="W61" i="80"/>
  <c r="Y61" i="80" s="1"/>
  <c r="S38" i="68"/>
  <c r="Y48" i="65"/>
  <c r="Y43" i="65"/>
  <c r="Y51" i="65"/>
  <c r="Y47" i="65"/>
  <c r="Y45" i="65"/>
  <c r="Y44" i="65"/>
  <c r="Y49" i="65"/>
  <c r="Y46" i="65"/>
  <c r="Y50" i="65"/>
  <c r="N13" i="85"/>
  <c r="P13" i="85" s="1"/>
  <c r="V13" i="85"/>
  <c r="W62" i="80"/>
  <c r="Y62" i="80" s="1"/>
  <c r="S62" i="80"/>
  <c r="U62" i="80" s="1"/>
  <c r="J19" i="85"/>
  <c r="P25" i="80"/>
  <c r="W19" i="80"/>
  <c r="Y19" i="80" s="1"/>
  <c r="G34" i="66"/>
  <c r="W31" i="66" s="1"/>
  <c r="G32" i="66"/>
  <c r="U31" i="66" s="1"/>
  <c r="W17" i="80"/>
  <c r="Y17" i="80" s="1"/>
  <c r="N12" i="85"/>
  <c r="P12" i="85" s="1"/>
  <c r="V12" i="85"/>
  <c r="X43" i="65"/>
  <c r="X49" i="65"/>
  <c r="X46" i="65"/>
  <c r="X45" i="65"/>
  <c r="X51" i="65"/>
  <c r="X44" i="65"/>
  <c r="X50" i="65"/>
  <c r="X47" i="65"/>
  <c r="X48" i="65"/>
  <c r="V49" i="65"/>
  <c r="V48" i="65"/>
  <c r="V51" i="65"/>
  <c r="V46" i="65"/>
  <c r="V43" i="65"/>
  <c r="V44" i="65"/>
  <c r="V45" i="65"/>
  <c r="V50" i="65"/>
  <c r="V47" i="65"/>
  <c r="V7" i="85"/>
  <c r="J58" i="85" s="1"/>
  <c r="G144" i="77"/>
  <c r="I144" i="77" s="1"/>
  <c r="I145" i="77" s="1"/>
  <c r="G25" i="77" s="1"/>
  <c r="J20" i="85"/>
  <c r="S30" i="69"/>
  <c r="W63" i="80"/>
  <c r="Y63" i="80" s="1"/>
  <c r="S63" i="80"/>
  <c r="U63" i="80" s="1"/>
  <c r="S62" i="69"/>
  <c r="R61" i="70"/>
  <c r="S62" i="68"/>
  <c r="X76" i="65"/>
  <c r="X80" i="65"/>
  <c r="X79" i="65"/>
  <c r="X77" i="65"/>
  <c r="X78" i="65"/>
  <c r="Y76" i="66"/>
  <c r="T77" i="66"/>
  <c r="T78" i="66" s="1"/>
  <c r="T79" i="66" s="1"/>
  <c r="W85" i="66"/>
  <c r="W81" i="66"/>
  <c r="W83" i="66"/>
  <c r="W84" i="66"/>
  <c r="W82" i="66"/>
  <c r="V76" i="65"/>
  <c r="V73" i="65"/>
  <c r="V80" i="65"/>
  <c r="V74" i="65"/>
  <c r="V77" i="65"/>
  <c r="V75" i="65"/>
  <c r="V72" i="65"/>
  <c r="V78" i="65"/>
  <c r="V79" i="65"/>
  <c r="W74" i="65"/>
  <c r="W73" i="65"/>
  <c r="W77" i="65"/>
  <c r="W78" i="65"/>
  <c r="W75" i="65"/>
  <c r="W80" i="65"/>
  <c r="W79" i="65"/>
  <c r="W76" i="65"/>
  <c r="G65" i="66"/>
  <c r="U64" i="66" s="1"/>
  <c r="G66" i="66"/>
  <c r="V64" i="66" s="1"/>
  <c r="W32" i="67"/>
  <c r="S33" i="67"/>
  <c r="S34" i="67" s="1"/>
  <c r="S35" i="67" s="1"/>
  <c r="Z71" i="65"/>
  <c r="U72" i="65"/>
  <c r="G31" i="15"/>
  <c r="O8" i="15"/>
  <c r="I53" i="15"/>
  <c r="I70" i="15"/>
  <c r="G10" i="15" s="1"/>
  <c r="G55" i="68"/>
  <c r="U53" i="68" s="1"/>
  <c r="U62" i="68" s="1"/>
  <c r="G83" i="15"/>
  <c r="I83" i="15" s="1"/>
  <c r="L33" i="2"/>
  <c r="G84" i="15"/>
  <c r="I84" i="15" s="1"/>
  <c r="L34" i="2"/>
  <c r="L32" i="2"/>
  <c r="G82" i="15"/>
  <c r="I82" i="15" s="1"/>
  <c r="K26" i="26"/>
  <c r="F45" i="34"/>
  <c r="H15" i="26"/>
  <c r="H16" i="26"/>
  <c r="I75" i="92" l="1"/>
  <c r="I8" i="92" s="1"/>
  <c r="I45" i="93"/>
  <c r="I6" i="93" s="1"/>
  <c r="L64" i="75"/>
  <c r="L63" i="75"/>
  <c r="G133" i="93" s="1"/>
  <c r="I133" i="93" s="1"/>
  <c r="I134" i="93" s="1"/>
  <c r="I21" i="93" s="1"/>
  <c r="J50" i="76"/>
  <c r="Q59" i="75"/>
  <c r="J45" i="84"/>
  <c r="O73" i="87"/>
  <c r="H66" i="89"/>
  <c r="J66" i="89" s="1"/>
  <c r="L66" i="89" s="1"/>
  <c r="H66" i="86"/>
  <c r="J66" i="86" s="1"/>
  <c r="L66" i="86" s="1"/>
  <c r="I56" i="91"/>
  <c r="L56" i="91" s="1"/>
  <c r="N56" i="91" s="1"/>
  <c r="I57" i="88"/>
  <c r="L57" i="88" s="1"/>
  <c r="N57" i="88" s="1"/>
  <c r="P58" i="72"/>
  <c r="S58" i="72" s="1"/>
  <c r="T58" i="72" s="1"/>
  <c r="H11" i="89"/>
  <c r="J11" i="89" s="1"/>
  <c r="L11" i="89" s="1"/>
  <c r="H11" i="86"/>
  <c r="O12" i="87"/>
  <c r="I11" i="91"/>
  <c r="L11" i="91" s="1"/>
  <c r="N11" i="91" s="1"/>
  <c r="I12" i="88"/>
  <c r="L12" i="88" s="1"/>
  <c r="N12" i="88" s="1"/>
  <c r="P13" i="72"/>
  <c r="I35" i="88"/>
  <c r="L35" i="88" s="1"/>
  <c r="N35" i="88" s="1"/>
  <c r="P36" i="72"/>
  <c r="S36" i="72" s="1"/>
  <c r="T36" i="72" s="1"/>
  <c r="I34" i="91"/>
  <c r="L34" i="91" s="1"/>
  <c r="N34" i="91" s="1"/>
  <c r="F16" i="91"/>
  <c r="L16" i="90"/>
  <c r="N16" i="90" s="1"/>
  <c r="H70" i="89"/>
  <c r="J70" i="89" s="1"/>
  <c r="L70" i="89" s="1"/>
  <c r="I61" i="88"/>
  <c r="L61" i="88" s="1"/>
  <c r="N61" i="88" s="1"/>
  <c r="P62" i="72"/>
  <c r="S62" i="72" s="1"/>
  <c r="T62" i="72" s="1"/>
  <c r="H70" i="86"/>
  <c r="J70" i="86" s="1"/>
  <c r="L70" i="86" s="1"/>
  <c r="I60" i="91"/>
  <c r="L60" i="91" s="1"/>
  <c r="N60" i="91" s="1"/>
  <c r="H31" i="89"/>
  <c r="J31" i="89" s="1"/>
  <c r="L31" i="89" s="1"/>
  <c r="H31" i="86"/>
  <c r="O38" i="87"/>
  <c r="I12" i="91"/>
  <c r="L12" i="91" s="1"/>
  <c r="N12" i="91" s="1"/>
  <c r="I13" i="88"/>
  <c r="L13" i="88" s="1"/>
  <c r="N13" i="88" s="1"/>
  <c r="P14" i="72"/>
  <c r="S14" i="72" s="1"/>
  <c r="T14" i="72" s="1"/>
  <c r="I28" i="91"/>
  <c r="L28" i="91" s="1"/>
  <c r="N28" i="91" s="1"/>
  <c r="I29" i="88"/>
  <c r="L29" i="88" s="1"/>
  <c r="N29" i="88" s="1"/>
  <c r="P30" i="72"/>
  <c r="S30" i="72" s="1"/>
  <c r="T30" i="72" s="1"/>
  <c r="L19" i="90"/>
  <c r="N19" i="90" s="1"/>
  <c r="F19" i="91"/>
  <c r="H67" i="84"/>
  <c r="O25" i="87"/>
  <c r="H21" i="89"/>
  <c r="J21" i="89" s="1"/>
  <c r="L21" i="89" s="1"/>
  <c r="H21" i="86"/>
  <c r="L66" i="75"/>
  <c r="J47" i="84"/>
  <c r="H68" i="89"/>
  <c r="J68" i="89" s="1"/>
  <c r="L68" i="89" s="1"/>
  <c r="H68" i="86"/>
  <c r="J68" i="86" s="1"/>
  <c r="L68" i="86" s="1"/>
  <c r="I58" i="91"/>
  <c r="L58" i="91" s="1"/>
  <c r="N58" i="91" s="1"/>
  <c r="I59" i="88"/>
  <c r="L59" i="88" s="1"/>
  <c r="N59" i="88" s="1"/>
  <c r="O75" i="87"/>
  <c r="P60" i="72"/>
  <c r="S60" i="72" s="1"/>
  <c r="T60" i="72" s="1"/>
  <c r="J46" i="84"/>
  <c r="J67" i="84" s="1"/>
  <c r="H67" i="89"/>
  <c r="J67" i="89" s="1"/>
  <c r="L67" i="89" s="1"/>
  <c r="P59" i="72"/>
  <c r="S59" i="72" s="1"/>
  <c r="T59" i="72" s="1"/>
  <c r="H67" i="86"/>
  <c r="J67" i="86" s="1"/>
  <c r="L67" i="86" s="1"/>
  <c r="I57" i="91"/>
  <c r="L57" i="91" s="1"/>
  <c r="N57" i="91" s="1"/>
  <c r="I58" i="88"/>
  <c r="L58" i="88" s="1"/>
  <c r="N58" i="88" s="1"/>
  <c r="O74" i="87"/>
  <c r="I8" i="91"/>
  <c r="L8" i="91" s="1"/>
  <c r="N8" i="91" s="1"/>
  <c r="I9" i="88"/>
  <c r="L9" i="88" s="1"/>
  <c r="N9" i="88" s="1"/>
  <c r="P10" i="72"/>
  <c r="S10" i="72" s="1"/>
  <c r="T10" i="72" s="1"/>
  <c r="I16" i="88"/>
  <c r="L16" i="88" s="1"/>
  <c r="N16" i="88" s="1"/>
  <c r="P17" i="72"/>
  <c r="S17" i="72" s="1"/>
  <c r="T17" i="72" s="1"/>
  <c r="I15" i="91"/>
  <c r="L15" i="91" s="1"/>
  <c r="N15" i="91" s="1"/>
  <c r="L62" i="75"/>
  <c r="G128" i="93" s="1"/>
  <c r="I128" i="93" s="1"/>
  <c r="I129" i="93" s="1"/>
  <c r="I20" i="93" s="1"/>
  <c r="I22" i="93" s="1"/>
  <c r="I25" i="93" s="1"/>
  <c r="I27" i="93" s="1"/>
  <c r="I25" i="72"/>
  <c r="M25" i="72" s="1"/>
  <c r="N25" i="72" s="1"/>
  <c r="I23" i="90"/>
  <c r="I46" i="91"/>
  <c r="L46" i="91" s="1"/>
  <c r="N46" i="91" s="1"/>
  <c r="P48" i="72"/>
  <c r="S48" i="72" s="1"/>
  <c r="T48" i="72" s="1"/>
  <c r="I47" i="88"/>
  <c r="L47" i="88" s="1"/>
  <c r="N47" i="88" s="1"/>
  <c r="I10" i="91"/>
  <c r="L10" i="91" s="1"/>
  <c r="N10" i="91" s="1"/>
  <c r="I11" i="88"/>
  <c r="L11" i="88" s="1"/>
  <c r="N11" i="88" s="1"/>
  <c r="P12" i="72"/>
  <c r="S12" i="72" s="1"/>
  <c r="T12" i="72" s="1"/>
  <c r="I25" i="90"/>
  <c r="I27" i="72"/>
  <c r="M27" i="72" s="1"/>
  <c r="N27" i="72" s="1"/>
  <c r="I26" i="72"/>
  <c r="M26" i="72" s="1"/>
  <c r="N26" i="72" s="1"/>
  <c r="I24" i="90"/>
  <c r="I40" i="91"/>
  <c r="L40" i="91" s="1"/>
  <c r="N40" i="91" s="1"/>
  <c r="P42" i="72"/>
  <c r="S42" i="72" s="1"/>
  <c r="T42" i="72" s="1"/>
  <c r="I41" i="88"/>
  <c r="L41" i="88" s="1"/>
  <c r="N41" i="88" s="1"/>
  <c r="J50" i="84"/>
  <c r="J71" i="84" s="1"/>
  <c r="L71" i="84" s="1"/>
  <c r="N71" i="84" s="1"/>
  <c r="H71" i="89"/>
  <c r="J71" i="89" s="1"/>
  <c r="L71" i="89" s="1"/>
  <c r="H71" i="86"/>
  <c r="J71" i="86" s="1"/>
  <c r="L71" i="86" s="1"/>
  <c r="I61" i="91"/>
  <c r="L61" i="91" s="1"/>
  <c r="N61" i="91" s="1"/>
  <c r="P63" i="72"/>
  <c r="S63" i="72" s="1"/>
  <c r="T63" i="72" s="1"/>
  <c r="O78" i="87"/>
  <c r="I62" i="88"/>
  <c r="L62" i="88" s="1"/>
  <c r="N62" i="88" s="1"/>
  <c r="I23" i="88"/>
  <c r="L23" i="88" s="1"/>
  <c r="N23" i="88" s="1"/>
  <c r="I22" i="91"/>
  <c r="L22" i="91" s="1"/>
  <c r="N22" i="91" s="1"/>
  <c r="P24" i="72"/>
  <c r="S24" i="72" s="1"/>
  <c r="T24" i="72" s="1"/>
  <c r="I52" i="88"/>
  <c r="L52" i="88" s="1"/>
  <c r="N52" i="88" s="1"/>
  <c r="P53" i="72"/>
  <c r="S53" i="72" s="1"/>
  <c r="T53" i="72" s="1"/>
  <c r="I51" i="91"/>
  <c r="L51" i="91" s="1"/>
  <c r="N51" i="91" s="1"/>
  <c r="I9" i="91"/>
  <c r="L9" i="91" s="1"/>
  <c r="N9" i="91" s="1"/>
  <c r="P11" i="72"/>
  <c r="S11" i="72" s="1"/>
  <c r="T11" i="72" s="1"/>
  <c r="I10" i="88"/>
  <c r="L10" i="88" s="1"/>
  <c r="N10" i="88" s="1"/>
  <c r="N12" i="79"/>
  <c r="P12" i="79" s="1"/>
  <c r="L65" i="75"/>
  <c r="F18" i="91"/>
  <c r="L18" i="90"/>
  <c r="N18" i="90" s="1"/>
  <c r="F17" i="91"/>
  <c r="L17" i="90"/>
  <c r="N17" i="90" s="1"/>
  <c r="U7" i="84"/>
  <c r="H59" i="84" s="1"/>
  <c r="G134" i="77"/>
  <c r="I134" i="77" s="1"/>
  <c r="I135" i="77" s="1"/>
  <c r="G23" i="77" s="1"/>
  <c r="G139" i="77"/>
  <c r="I139" i="77" s="1"/>
  <c r="I140" i="77" s="1"/>
  <c r="G24" i="77" s="1"/>
  <c r="H9" i="76"/>
  <c r="J53" i="76"/>
  <c r="F28" i="75"/>
  <c r="F15" i="84"/>
  <c r="G6" i="66"/>
  <c r="I24" i="80"/>
  <c r="S24" i="80" s="1"/>
  <c r="U24" i="80" s="1"/>
  <c r="L18" i="80"/>
  <c r="N18" i="80" s="1"/>
  <c r="S4" i="67"/>
  <c r="S12" i="67" s="1"/>
  <c r="D24" i="67"/>
  <c r="L24" i="67" s="1"/>
  <c r="L32" i="67" s="1"/>
  <c r="F26" i="75"/>
  <c r="F13" i="84"/>
  <c r="U13" i="84" s="1"/>
  <c r="U14" i="84" s="1"/>
  <c r="H60" i="84" s="1"/>
  <c r="M13" i="72"/>
  <c r="N13" i="72" s="1"/>
  <c r="S13" i="72"/>
  <c r="T13" i="72" s="1"/>
  <c r="D21" i="69"/>
  <c r="L21" i="69" s="1"/>
  <c r="L28" i="69" s="1"/>
  <c r="S4" i="69"/>
  <c r="S11" i="69" s="1"/>
  <c r="D33" i="65"/>
  <c r="P30" i="65" s="1"/>
  <c r="X4" i="65"/>
  <c r="J72" i="82"/>
  <c r="L72" i="82" s="1"/>
  <c r="L19" i="80"/>
  <c r="N19" i="80" s="1"/>
  <c r="I25" i="80"/>
  <c r="S25" i="80" s="1"/>
  <c r="U25" i="80" s="1"/>
  <c r="G7" i="66"/>
  <c r="G96" i="77"/>
  <c r="I96" i="77" s="1"/>
  <c r="J22" i="84"/>
  <c r="O31" i="75"/>
  <c r="Q31" i="75" s="1"/>
  <c r="O18" i="75"/>
  <c r="Q18" i="75" s="1"/>
  <c r="G65" i="77"/>
  <c r="I65" i="77" s="1"/>
  <c r="J11" i="84"/>
  <c r="L32" i="74"/>
  <c r="G88" i="92" s="1"/>
  <c r="I88" i="92" s="1"/>
  <c r="J18" i="79"/>
  <c r="L20" i="75"/>
  <c r="G58" i="93" s="1"/>
  <c r="I58" i="93" s="1"/>
  <c r="O13" i="75"/>
  <c r="Q13" i="75" s="1"/>
  <c r="J7" i="84"/>
  <c r="N7" i="84" s="1"/>
  <c r="P7" i="84" s="1"/>
  <c r="G47" i="77"/>
  <c r="G30" i="77"/>
  <c r="P8" i="76"/>
  <c r="H31" i="76"/>
  <c r="D30" i="65"/>
  <c r="M30" i="65" s="1"/>
  <c r="M42" i="65" s="1"/>
  <c r="U4" i="65"/>
  <c r="U16" i="65" s="1"/>
  <c r="H82" i="76"/>
  <c r="J67" i="76"/>
  <c r="V7" i="79"/>
  <c r="V4" i="65"/>
  <c r="D31" i="65"/>
  <c r="N30" i="65" s="1"/>
  <c r="O43" i="75"/>
  <c r="Q43" i="75" s="1"/>
  <c r="J32" i="84"/>
  <c r="G111" i="77"/>
  <c r="I111" i="77" s="1"/>
  <c r="U50" i="84"/>
  <c r="J8" i="84"/>
  <c r="N8" i="84" s="1"/>
  <c r="P8" i="84" s="1"/>
  <c r="G48" i="77"/>
  <c r="O14" i="75"/>
  <c r="Q14" i="75" s="1"/>
  <c r="L21" i="75"/>
  <c r="G59" i="93" s="1"/>
  <c r="I59" i="93" s="1"/>
  <c r="M12" i="72"/>
  <c r="N12" i="72" s="1"/>
  <c r="O37" i="75"/>
  <c r="Q37" i="75" s="1"/>
  <c r="J27" i="84"/>
  <c r="N27" i="84" s="1"/>
  <c r="P27" i="84" s="1"/>
  <c r="O49" i="75"/>
  <c r="Q49" i="75" s="1"/>
  <c r="J37" i="84"/>
  <c r="G125" i="77"/>
  <c r="I125" i="77" s="1"/>
  <c r="G45" i="77"/>
  <c r="I45" i="77" s="1"/>
  <c r="J5" i="84"/>
  <c r="O11" i="75"/>
  <c r="Q11" i="75" s="1"/>
  <c r="T4" i="66"/>
  <c r="T16" i="66" s="1"/>
  <c r="D31" i="66"/>
  <c r="L31" i="66" s="1"/>
  <c r="L43" i="66" s="1"/>
  <c r="M11" i="72"/>
  <c r="N11" i="72" s="1"/>
  <c r="J6" i="84"/>
  <c r="L19" i="75"/>
  <c r="G57" i="93" s="1"/>
  <c r="I57" i="93" s="1"/>
  <c r="G46" i="77"/>
  <c r="O12" i="75"/>
  <c r="Q12" i="75" s="1"/>
  <c r="L33" i="74"/>
  <c r="G89" i="92" s="1"/>
  <c r="I89" i="92" s="1"/>
  <c r="J19" i="79"/>
  <c r="G5" i="66"/>
  <c r="L17" i="80"/>
  <c r="N17" i="80" s="1"/>
  <c r="J73" i="82"/>
  <c r="L73" i="82" s="1"/>
  <c r="Y4" i="65"/>
  <c r="D34" i="65"/>
  <c r="Q30" i="65" s="1"/>
  <c r="R5" i="70"/>
  <c r="R12" i="70" s="1"/>
  <c r="D23" i="70"/>
  <c r="L23" i="70" s="1"/>
  <c r="L30" i="70" s="1"/>
  <c r="J41" i="84"/>
  <c r="N41" i="84" s="1"/>
  <c r="P41" i="84" s="1"/>
  <c r="O54" i="75"/>
  <c r="Q54" i="75" s="1"/>
  <c r="G81" i="77"/>
  <c r="I81" i="77" s="1"/>
  <c r="O25" i="75"/>
  <c r="Q25" i="75" s="1"/>
  <c r="J17" i="84"/>
  <c r="L34" i="74"/>
  <c r="G90" i="92" s="1"/>
  <c r="I90" i="92" s="1"/>
  <c r="J20" i="79"/>
  <c r="S18" i="80"/>
  <c r="U18" i="80" s="1"/>
  <c r="M14" i="72"/>
  <c r="N14" i="72" s="1"/>
  <c r="F27" i="75"/>
  <c r="F14" i="84"/>
  <c r="W4" i="65"/>
  <c r="D32" i="65"/>
  <c r="O30" i="65" s="1"/>
  <c r="J71" i="82"/>
  <c r="L71" i="82" s="1"/>
  <c r="H83" i="76"/>
  <c r="J68" i="76"/>
  <c r="S17" i="80"/>
  <c r="U17" i="80" s="1"/>
  <c r="I26" i="80"/>
  <c r="G8" i="66"/>
  <c r="L20" i="80"/>
  <c r="N20" i="80" s="1"/>
  <c r="J9" i="84"/>
  <c r="N9" i="84" s="1"/>
  <c r="P9" i="84" s="1"/>
  <c r="O15" i="75"/>
  <c r="Q15" i="75" s="1"/>
  <c r="G49" i="77"/>
  <c r="L22" i="75"/>
  <c r="G60" i="93" s="1"/>
  <c r="I60" i="93" s="1"/>
  <c r="H84" i="76"/>
  <c r="J69" i="76"/>
  <c r="N13" i="79"/>
  <c r="P13" i="79" s="1"/>
  <c r="V13" i="79"/>
  <c r="V14" i="79" s="1"/>
  <c r="S5" i="68"/>
  <c r="S13" i="68" s="1"/>
  <c r="D25" i="68"/>
  <c r="L25" i="68" s="1"/>
  <c r="L33" i="68" s="1"/>
  <c r="V46" i="66"/>
  <c r="V51" i="66"/>
  <c r="V48" i="66"/>
  <c r="V52" i="66"/>
  <c r="V45" i="66"/>
  <c r="V50" i="66"/>
  <c r="V47" i="66"/>
  <c r="V44" i="66"/>
  <c r="V49" i="66"/>
  <c r="Z43" i="65"/>
  <c r="U44" i="65"/>
  <c r="U52" i="66"/>
  <c r="U49" i="66"/>
  <c r="U46" i="66"/>
  <c r="U50" i="66"/>
  <c r="U51" i="66"/>
  <c r="U48" i="66"/>
  <c r="U45" i="66"/>
  <c r="U44" i="66"/>
  <c r="U47" i="66"/>
  <c r="N20" i="85"/>
  <c r="P20" i="85" s="1"/>
  <c r="V19" i="85"/>
  <c r="R33" i="70"/>
  <c r="P30" i="80"/>
  <c r="W47" i="66"/>
  <c r="W52" i="66"/>
  <c r="W44" i="66"/>
  <c r="W49" i="66"/>
  <c r="W48" i="66"/>
  <c r="W51" i="66"/>
  <c r="W50" i="66"/>
  <c r="W45" i="66"/>
  <c r="W46" i="66"/>
  <c r="P32" i="80"/>
  <c r="G27" i="67"/>
  <c r="V24" i="67" s="1"/>
  <c r="W26" i="80"/>
  <c r="Y26" i="80" s="1"/>
  <c r="N19" i="85"/>
  <c r="P19" i="85" s="1"/>
  <c r="V18" i="85"/>
  <c r="L58" i="85"/>
  <c r="N58" i="85" s="1"/>
  <c r="W7" i="85"/>
  <c r="X7" i="85" s="1"/>
  <c r="G25" i="67"/>
  <c r="T24" i="67" s="1"/>
  <c r="T36" i="67" s="1"/>
  <c r="W24" i="80"/>
  <c r="Y24" i="80" s="1"/>
  <c r="W25" i="80"/>
  <c r="Y25" i="80" s="1"/>
  <c r="G26" i="67"/>
  <c r="U24" i="67" s="1"/>
  <c r="P31" i="80"/>
  <c r="T45" i="66"/>
  <c r="V17" i="85"/>
  <c r="N18" i="85"/>
  <c r="P18" i="85" s="1"/>
  <c r="S31" i="69"/>
  <c r="V14" i="85"/>
  <c r="X45" i="66"/>
  <c r="X46" i="66"/>
  <c r="X49" i="66"/>
  <c r="X51" i="66"/>
  <c r="X48" i="66"/>
  <c r="X52" i="66"/>
  <c r="X44" i="66"/>
  <c r="X50" i="66"/>
  <c r="X47" i="66"/>
  <c r="U64" i="68"/>
  <c r="U63" i="68"/>
  <c r="U65" i="68"/>
  <c r="U66" i="68"/>
  <c r="G56" i="68"/>
  <c r="V53" i="68" s="1"/>
  <c r="S63" i="68"/>
  <c r="S64" i="68" s="1"/>
  <c r="S65" i="68" s="1"/>
  <c r="R62" i="70"/>
  <c r="G54" i="68"/>
  <c r="T53" i="68" s="1"/>
  <c r="T61" i="68" s="1"/>
  <c r="W61" i="68" s="1"/>
  <c r="S63" i="69"/>
  <c r="U79" i="66"/>
  <c r="U83" i="66"/>
  <c r="U84" i="66"/>
  <c r="U82" i="66"/>
  <c r="U85" i="66"/>
  <c r="U81" i="66"/>
  <c r="U80" i="66"/>
  <c r="U77" i="66"/>
  <c r="Y77" i="66" s="1"/>
  <c r="U78" i="66"/>
  <c r="T80" i="66"/>
  <c r="U73" i="65"/>
  <c r="Z72" i="65"/>
  <c r="S36" i="67"/>
  <c r="S37" i="67" s="1"/>
  <c r="V82" i="66"/>
  <c r="V85" i="66"/>
  <c r="V84" i="66"/>
  <c r="V83" i="66"/>
  <c r="V81" i="66"/>
  <c r="V80" i="66"/>
  <c r="V79" i="66"/>
  <c r="V78" i="66"/>
  <c r="I85" i="15"/>
  <c r="G11" i="15" s="1"/>
  <c r="G97" i="15"/>
  <c r="I97" i="15" s="1"/>
  <c r="L38" i="2"/>
  <c r="G99" i="15"/>
  <c r="I99" i="15" s="1"/>
  <c r="L40" i="2"/>
  <c r="L39" i="2"/>
  <c r="G98" i="15"/>
  <c r="I98" i="15" s="1"/>
  <c r="C36" i="16"/>
  <c r="L23" i="34"/>
  <c r="W44" i="16"/>
  <c r="W43" i="16"/>
  <c r="O77" i="87" l="1"/>
  <c r="J49" i="84"/>
  <c r="N50" i="84"/>
  <c r="P50" i="84" s="1"/>
  <c r="L67" i="84"/>
  <c r="N67" i="84" s="1"/>
  <c r="I61" i="93"/>
  <c r="I7" i="93" s="1"/>
  <c r="I91" i="92"/>
  <c r="I9" i="92" s="1"/>
  <c r="V50" i="84"/>
  <c r="G26" i="77"/>
  <c r="G29" i="77" s="1"/>
  <c r="O8" i="77" s="1"/>
  <c r="I19" i="88"/>
  <c r="L19" i="88" s="1"/>
  <c r="N19" i="88" s="1"/>
  <c r="I18" i="91"/>
  <c r="L18" i="91" s="1"/>
  <c r="N18" i="91" s="1"/>
  <c r="P20" i="72"/>
  <c r="S20" i="72" s="1"/>
  <c r="T20" i="72" s="1"/>
  <c r="W74" i="87"/>
  <c r="Y74" i="87" s="1"/>
  <c r="AA74" i="87" s="1"/>
  <c r="Q74" i="87"/>
  <c r="S74" i="87" s="1"/>
  <c r="W77" i="87"/>
  <c r="Y77" i="87" s="1"/>
  <c r="AA77" i="87" s="1"/>
  <c r="Q77" i="87"/>
  <c r="S77" i="87" s="1"/>
  <c r="I33" i="72"/>
  <c r="M33" i="72" s="1"/>
  <c r="N33" i="72" s="1"/>
  <c r="I31" i="90"/>
  <c r="O13" i="87"/>
  <c r="H12" i="89"/>
  <c r="J12" i="89" s="1"/>
  <c r="L12" i="89" s="1"/>
  <c r="H12" i="86"/>
  <c r="N47" i="84"/>
  <c r="P47" i="84" s="1"/>
  <c r="J68" i="84"/>
  <c r="L68" i="84" s="1"/>
  <c r="N68" i="84" s="1"/>
  <c r="N49" i="84"/>
  <c r="P49" i="84" s="1"/>
  <c r="J70" i="84"/>
  <c r="L70" i="84" s="1"/>
  <c r="N70" i="84" s="1"/>
  <c r="L25" i="90"/>
  <c r="N25" i="90" s="1"/>
  <c r="F25" i="91"/>
  <c r="I32" i="72"/>
  <c r="M32" i="72" s="1"/>
  <c r="N32" i="72" s="1"/>
  <c r="I30" i="90"/>
  <c r="J52" i="84"/>
  <c r="I63" i="91"/>
  <c r="L63" i="91" s="1"/>
  <c r="N63" i="91" s="1"/>
  <c r="O80" i="87"/>
  <c r="I64" i="88"/>
  <c r="L64" i="88" s="1"/>
  <c r="N64" i="88" s="1"/>
  <c r="H73" i="89"/>
  <c r="J73" i="89" s="1"/>
  <c r="L73" i="89" s="1"/>
  <c r="P65" i="72"/>
  <c r="S65" i="72" s="1"/>
  <c r="T65" i="72" s="1"/>
  <c r="H73" i="86"/>
  <c r="J73" i="86" s="1"/>
  <c r="L73" i="86" s="1"/>
  <c r="L23" i="90"/>
  <c r="N23" i="90" s="1"/>
  <c r="F23" i="91"/>
  <c r="W38" i="87"/>
  <c r="Y38" i="87" s="1"/>
  <c r="AA38" i="87" s="1"/>
  <c r="I20" i="88"/>
  <c r="L20" i="88" s="1"/>
  <c r="N20" i="88" s="1"/>
  <c r="I19" i="91"/>
  <c r="L19" i="91" s="1"/>
  <c r="N19" i="91" s="1"/>
  <c r="P21" i="72"/>
  <c r="S21" i="72" s="1"/>
  <c r="T21" i="72" s="1"/>
  <c r="J12" i="84"/>
  <c r="N12" i="84" s="1"/>
  <c r="P12" i="84" s="1"/>
  <c r="P18" i="72"/>
  <c r="S18" i="72" s="1"/>
  <c r="T18" i="72" s="1"/>
  <c r="I16" i="91"/>
  <c r="L16" i="91" s="1"/>
  <c r="N16" i="91" s="1"/>
  <c r="I17" i="88"/>
  <c r="L17" i="88" s="1"/>
  <c r="N17" i="88" s="1"/>
  <c r="L24" i="90"/>
  <c r="N24" i="90" s="1"/>
  <c r="F24" i="91"/>
  <c r="J48" i="84"/>
  <c r="H69" i="89"/>
  <c r="J69" i="89" s="1"/>
  <c r="L69" i="89" s="1"/>
  <c r="H69" i="86"/>
  <c r="J69" i="86" s="1"/>
  <c r="L69" i="86" s="1"/>
  <c r="I60" i="88"/>
  <c r="L60" i="88" s="1"/>
  <c r="N60" i="88" s="1"/>
  <c r="O76" i="87"/>
  <c r="I59" i="91"/>
  <c r="L59" i="91" s="1"/>
  <c r="N59" i="91" s="1"/>
  <c r="P61" i="72"/>
  <c r="S61" i="72" s="1"/>
  <c r="T61" i="72" s="1"/>
  <c r="W25" i="87"/>
  <c r="Y25" i="87" s="1"/>
  <c r="AA25" i="87" s="1"/>
  <c r="P19" i="72"/>
  <c r="S19" i="72" s="1"/>
  <c r="T19" i="72" s="1"/>
  <c r="I17" i="91"/>
  <c r="L17" i="91" s="1"/>
  <c r="N17" i="91" s="1"/>
  <c r="I18" i="88"/>
  <c r="L18" i="88" s="1"/>
  <c r="N18" i="88" s="1"/>
  <c r="W73" i="87"/>
  <c r="Y73" i="87" s="1"/>
  <c r="AA73" i="87" s="1"/>
  <c r="Q73" i="87"/>
  <c r="S73" i="87" s="1"/>
  <c r="I29" i="90"/>
  <c r="I31" i="72"/>
  <c r="M31" i="72" s="1"/>
  <c r="N31" i="72" s="1"/>
  <c r="W75" i="87"/>
  <c r="Y75" i="87" s="1"/>
  <c r="AA75" i="87" s="1"/>
  <c r="Q75" i="87"/>
  <c r="S75" i="87" s="1"/>
  <c r="W12" i="87"/>
  <c r="Y12" i="87" s="1"/>
  <c r="AA12" i="87" s="1"/>
  <c r="J51" i="84"/>
  <c r="I62" i="91"/>
  <c r="L62" i="91" s="1"/>
  <c r="N62" i="91" s="1"/>
  <c r="H72" i="86"/>
  <c r="J72" i="86" s="1"/>
  <c r="L72" i="86" s="1"/>
  <c r="H72" i="89"/>
  <c r="J72" i="89" s="1"/>
  <c r="L72" i="89" s="1"/>
  <c r="O79" i="87"/>
  <c r="P64" i="72"/>
  <c r="S64" i="72" s="1"/>
  <c r="T64" i="72" s="1"/>
  <c r="I63" i="88"/>
  <c r="L63" i="88" s="1"/>
  <c r="N63" i="88" s="1"/>
  <c r="W78" i="87"/>
  <c r="Y78" i="87" s="1"/>
  <c r="AA78" i="87" s="1"/>
  <c r="Q78" i="87"/>
  <c r="S78" i="87" s="1"/>
  <c r="N46" i="84"/>
  <c r="P46" i="84" s="1"/>
  <c r="N45" i="84"/>
  <c r="P45" i="84" s="1"/>
  <c r="J66" i="84"/>
  <c r="L66" i="84" s="1"/>
  <c r="N66" i="84" s="1"/>
  <c r="V20" i="85"/>
  <c r="W50" i="84"/>
  <c r="X50" i="84" s="1"/>
  <c r="V23" i="65"/>
  <c r="V19" i="65"/>
  <c r="V24" i="65"/>
  <c r="V21" i="65"/>
  <c r="V18" i="65"/>
  <c r="V17" i="65"/>
  <c r="V22" i="65"/>
  <c r="V20" i="65"/>
  <c r="V25" i="65"/>
  <c r="L26" i="75"/>
  <c r="G72" i="93" s="1"/>
  <c r="I72" i="93" s="1"/>
  <c r="J13" i="84"/>
  <c r="P32" i="67"/>
  <c r="L33" i="67"/>
  <c r="W14" i="79"/>
  <c r="X14" i="79" s="1"/>
  <c r="J59" i="79"/>
  <c r="L59" i="79" s="1"/>
  <c r="N59" i="79" s="1"/>
  <c r="N20" i="79"/>
  <c r="P20" i="79" s="1"/>
  <c r="V19" i="79"/>
  <c r="L60" i="79" s="1"/>
  <c r="N60" i="79" s="1"/>
  <c r="W7" i="79"/>
  <c r="X7" i="79" s="1"/>
  <c r="L58" i="79"/>
  <c r="N58" i="79" s="1"/>
  <c r="W12" i="67"/>
  <c r="S13" i="67"/>
  <c r="Q49" i="65"/>
  <c r="Q45" i="65"/>
  <c r="Q46" i="65"/>
  <c r="Q50" i="65"/>
  <c r="Q51" i="65"/>
  <c r="Q43" i="65"/>
  <c r="Q47" i="65"/>
  <c r="Q44" i="65"/>
  <c r="Q48" i="65"/>
  <c r="W4" i="66"/>
  <c r="D34" i="66"/>
  <c r="O31" i="66" s="1"/>
  <c r="L40" i="74"/>
  <c r="J25" i="79"/>
  <c r="N25" i="79" s="1"/>
  <c r="P25" i="79" s="1"/>
  <c r="Q43" i="66"/>
  <c r="L44" i="66"/>
  <c r="L27" i="75"/>
  <c r="G73" i="93" s="1"/>
  <c r="I73" i="93" s="1"/>
  <c r="J14" i="84"/>
  <c r="N14" i="84" s="1"/>
  <c r="P14" i="84" s="1"/>
  <c r="J70" i="76"/>
  <c r="H10" i="76" s="1"/>
  <c r="V17" i="79"/>
  <c r="N18" i="79"/>
  <c r="P18" i="79" s="1"/>
  <c r="I32" i="80"/>
  <c r="S32" i="80" s="1"/>
  <c r="U32" i="80" s="1"/>
  <c r="L26" i="80"/>
  <c r="N26" i="80" s="1"/>
  <c r="G7" i="67"/>
  <c r="V6" i="84"/>
  <c r="N6" i="84"/>
  <c r="P6" i="84" s="1"/>
  <c r="I31" i="80"/>
  <c r="S31" i="80" s="1"/>
  <c r="U31" i="80" s="1"/>
  <c r="G6" i="67"/>
  <c r="L25" i="80"/>
  <c r="N25" i="80" s="1"/>
  <c r="S26" i="80"/>
  <c r="U26" i="80" s="1"/>
  <c r="H99" i="76"/>
  <c r="J84" i="76"/>
  <c r="H98" i="76"/>
  <c r="J83" i="76"/>
  <c r="V16" i="84"/>
  <c r="N17" i="84"/>
  <c r="P17" i="84" s="1"/>
  <c r="Y16" i="66"/>
  <c r="T17" i="66"/>
  <c r="H97" i="76"/>
  <c r="J82" i="76"/>
  <c r="L38" i="74"/>
  <c r="J23" i="79"/>
  <c r="I30" i="80"/>
  <c r="S30" i="80" s="1"/>
  <c r="U30" i="80" s="1"/>
  <c r="L24" i="80"/>
  <c r="N24" i="80" s="1"/>
  <c r="G5" i="67"/>
  <c r="L34" i="68"/>
  <c r="L28" i="75"/>
  <c r="G74" i="93" s="1"/>
  <c r="I74" i="93" s="1"/>
  <c r="J15" i="84"/>
  <c r="N15" i="84" s="1"/>
  <c r="P15" i="84" s="1"/>
  <c r="U4" i="66"/>
  <c r="D32" i="66"/>
  <c r="M31" i="66" s="1"/>
  <c r="G68" i="77"/>
  <c r="I48" i="77"/>
  <c r="U17" i="65"/>
  <c r="Z16" i="65"/>
  <c r="N11" i="84"/>
  <c r="P11" i="84" s="1"/>
  <c r="V11" i="84"/>
  <c r="X23" i="65"/>
  <c r="X20" i="65"/>
  <c r="X25" i="65"/>
  <c r="X19" i="65"/>
  <c r="X22" i="65"/>
  <c r="X24" i="65"/>
  <c r="X21" i="65"/>
  <c r="X18" i="65"/>
  <c r="V4" i="66"/>
  <c r="D33" i="66"/>
  <c r="N31" i="66" s="1"/>
  <c r="S14" i="68"/>
  <c r="F32" i="75"/>
  <c r="F18" i="84"/>
  <c r="U17" i="84" s="1"/>
  <c r="G69" i="77"/>
  <c r="I49" i="77"/>
  <c r="V18" i="79"/>
  <c r="N19" i="79"/>
  <c r="P19" i="79" s="1"/>
  <c r="V5" i="84"/>
  <c r="N5" i="84"/>
  <c r="P5" i="84" s="1"/>
  <c r="R42" i="65"/>
  <c r="M43" i="65"/>
  <c r="P44" i="65"/>
  <c r="P48" i="65"/>
  <c r="P45" i="65"/>
  <c r="P46" i="65"/>
  <c r="P49" i="65"/>
  <c r="P50" i="65"/>
  <c r="P43" i="65"/>
  <c r="P47" i="65"/>
  <c r="P51" i="65"/>
  <c r="Y21" i="65"/>
  <c r="Y20" i="65"/>
  <c r="Y24" i="65"/>
  <c r="Y25" i="65"/>
  <c r="Y18" i="65"/>
  <c r="Y23" i="65"/>
  <c r="Y19" i="65"/>
  <c r="Y22" i="65"/>
  <c r="O48" i="65"/>
  <c r="O44" i="65"/>
  <c r="O47" i="65"/>
  <c r="O51" i="65"/>
  <c r="O45" i="65"/>
  <c r="O49" i="65"/>
  <c r="O46" i="65"/>
  <c r="O50" i="65"/>
  <c r="O43" i="65"/>
  <c r="L39" i="74"/>
  <c r="J24" i="79"/>
  <c r="N24" i="79" s="1"/>
  <c r="P24" i="79" s="1"/>
  <c r="S12" i="69"/>
  <c r="W24" i="65"/>
  <c r="W25" i="65"/>
  <c r="W23" i="65"/>
  <c r="W18" i="65"/>
  <c r="W21" i="65"/>
  <c r="W22" i="65"/>
  <c r="W19" i="65"/>
  <c r="W20" i="65"/>
  <c r="L29" i="69"/>
  <c r="F34" i="75"/>
  <c r="F20" i="84"/>
  <c r="U19" i="84" s="1"/>
  <c r="N45" i="65"/>
  <c r="N46" i="65"/>
  <c r="N43" i="65"/>
  <c r="N47" i="65"/>
  <c r="N48" i="65"/>
  <c r="N49" i="65"/>
  <c r="N50" i="65"/>
  <c r="N51" i="65"/>
  <c r="N44" i="65"/>
  <c r="L31" i="70"/>
  <c r="G66" i="77"/>
  <c r="I66" i="77" s="1"/>
  <c r="I46" i="77"/>
  <c r="N37" i="84"/>
  <c r="P37" i="84" s="1"/>
  <c r="J64" i="84"/>
  <c r="L64" i="84" s="1"/>
  <c r="N64" i="84" s="1"/>
  <c r="V22" i="84"/>
  <c r="N22" i="84"/>
  <c r="P22" i="84" s="1"/>
  <c r="X4" i="66"/>
  <c r="D35" i="66"/>
  <c r="P31" i="66" s="1"/>
  <c r="F33" i="75"/>
  <c r="F19" i="84"/>
  <c r="U18" i="84" s="1"/>
  <c r="R13" i="70"/>
  <c r="V32" i="84"/>
  <c r="N32" i="84"/>
  <c r="P32" i="84" s="1"/>
  <c r="G67" i="77"/>
  <c r="I47" i="77"/>
  <c r="Y44" i="66"/>
  <c r="U33" i="67"/>
  <c r="U36" i="67"/>
  <c r="U34" i="67"/>
  <c r="U35" i="67"/>
  <c r="U37" i="67"/>
  <c r="V33" i="67"/>
  <c r="V34" i="67"/>
  <c r="V37" i="67"/>
  <c r="V35" i="67"/>
  <c r="V36" i="67"/>
  <c r="W31" i="80"/>
  <c r="Y31" i="80" s="1"/>
  <c r="G27" i="68"/>
  <c r="U25" i="68" s="1"/>
  <c r="W14" i="85"/>
  <c r="X14" i="85" s="1"/>
  <c r="J59" i="85"/>
  <c r="L59" i="85" s="1"/>
  <c r="N59" i="85" s="1"/>
  <c r="T35" i="67"/>
  <c r="J24" i="85"/>
  <c r="N24" i="85" s="1"/>
  <c r="P24" i="85" s="1"/>
  <c r="J29" i="85"/>
  <c r="N29" i="85" s="1"/>
  <c r="P29" i="85" s="1"/>
  <c r="P37" i="80"/>
  <c r="W32" i="80"/>
  <c r="Y32" i="80" s="1"/>
  <c r="G28" i="68"/>
  <c r="V25" i="68" s="1"/>
  <c r="J30" i="85"/>
  <c r="N30" i="85" s="1"/>
  <c r="P30" i="85" s="1"/>
  <c r="J25" i="85"/>
  <c r="N25" i="85" s="1"/>
  <c r="P25" i="85" s="1"/>
  <c r="P38" i="80"/>
  <c r="S32" i="69"/>
  <c r="R34" i="70"/>
  <c r="G31" i="77"/>
  <c r="J23" i="85"/>
  <c r="J28" i="85"/>
  <c r="N28" i="85" s="1"/>
  <c r="P28" i="85" s="1"/>
  <c r="P36" i="80"/>
  <c r="G26" i="68"/>
  <c r="T25" i="68" s="1"/>
  <c r="W30" i="80"/>
  <c r="Y30" i="80" s="1"/>
  <c r="T34" i="67"/>
  <c r="T33" i="67"/>
  <c r="T37" i="67"/>
  <c r="T46" i="66"/>
  <c r="Y45" i="66"/>
  <c r="U45" i="65"/>
  <c r="Z44" i="65"/>
  <c r="V65" i="68"/>
  <c r="V66" i="68"/>
  <c r="Y78" i="66"/>
  <c r="Y79" i="66"/>
  <c r="T66" i="68"/>
  <c r="T64" i="68"/>
  <c r="W64" i="68" s="1"/>
  <c r="T63" i="68"/>
  <c r="W63" i="68" s="1"/>
  <c r="T65" i="68"/>
  <c r="T62" i="68"/>
  <c r="W62" i="68" s="1"/>
  <c r="R63" i="70"/>
  <c r="S66" i="68"/>
  <c r="S64" i="69"/>
  <c r="Y80" i="66"/>
  <c r="T81" i="66"/>
  <c r="Z73" i="65"/>
  <c r="U74" i="65"/>
  <c r="L44" i="2"/>
  <c r="L46" i="2"/>
  <c r="L45" i="2"/>
  <c r="I100" i="15"/>
  <c r="G12" i="15" s="1"/>
  <c r="F41" i="26"/>
  <c r="B5" i="5"/>
  <c r="W37" i="16"/>
  <c r="I75" i="93" l="1"/>
  <c r="I8" i="93" s="1"/>
  <c r="V12" i="84"/>
  <c r="P25" i="72"/>
  <c r="S25" i="72" s="1"/>
  <c r="T25" i="72" s="1"/>
  <c r="I23" i="91"/>
  <c r="L23" i="91" s="1"/>
  <c r="N23" i="91" s="1"/>
  <c r="I24" i="88"/>
  <c r="L24" i="88" s="1"/>
  <c r="N24" i="88" s="1"/>
  <c r="H22" i="89"/>
  <c r="J22" i="89" s="1"/>
  <c r="L22" i="89" s="1"/>
  <c r="O26" i="87"/>
  <c r="H22" i="86"/>
  <c r="H21" i="82"/>
  <c r="G25" i="87"/>
  <c r="I37" i="90"/>
  <c r="I39" i="72"/>
  <c r="M39" i="72" s="1"/>
  <c r="N39" i="72" s="1"/>
  <c r="W80" i="87"/>
  <c r="Y80" i="87" s="1"/>
  <c r="AA80" i="87" s="1"/>
  <c r="Q80" i="87"/>
  <c r="S80" i="87" s="1"/>
  <c r="N52" i="84"/>
  <c r="P52" i="84" s="1"/>
  <c r="J73" i="84"/>
  <c r="L73" i="84" s="1"/>
  <c r="N73" i="84" s="1"/>
  <c r="F31" i="91"/>
  <c r="L31" i="90"/>
  <c r="N31" i="90" s="1"/>
  <c r="F30" i="91"/>
  <c r="L30" i="90"/>
  <c r="N30" i="90" s="1"/>
  <c r="F29" i="91"/>
  <c r="L29" i="90"/>
  <c r="N29" i="90" s="1"/>
  <c r="W13" i="87"/>
  <c r="Y13" i="87" s="1"/>
  <c r="AA13" i="87" s="1"/>
  <c r="I25" i="91"/>
  <c r="L25" i="91" s="1"/>
  <c r="N25" i="91" s="1"/>
  <c r="I26" i="88"/>
  <c r="L26" i="88" s="1"/>
  <c r="N26" i="88" s="1"/>
  <c r="P27" i="72"/>
  <c r="S27" i="72" s="1"/>
  <c r="T27" i="72" s="1"/>
  <c r="W76" i="87"/>
  <c r="Y76" i="87" s="1"/>
  <c r="AA76" i="87" s="1"/>
  <c r="Q76" i="87"/>
  <c r="S76" i="87" s="1"/>
  <c r="I38" i="72"/>
  <c r="M38" i="72" s="1"/>
  <c r="N38" i="72" s="1"/>
  <c r="I36" i="90"/>
  <c r="H31" i="82"/>
  <c r="F31" i="86" s="1"/>
  <c r="J31" i="86" s="1"/>
  <c r="L31" i="86" s="1"/>
  <c r="G38" i="87"/>
  <c r="W79" i="87"/>
  <c r="Y79" i="87" s="1"/>
  <c r="AA79" i="87" s="1"/>
  <c r="Q79" i="87"/>
  <c r="S79" i="87" s="1"/>
  <c r="N48" i="84"/>
  <c r="P48" i="84" s="1"/>
  <c r="J69" i="84"/>
  <c r="L69" i="84" s="1"/>
  <c r="N69" i="84" s="1"/>
  <c r="H11" i="82"/>
  <c r="F11" i="86" s="1"/>
  <c r="J11" i="86" s="1"/>
  <c r="L11" i="86" s="1"/>
  <c r="G12" i="87"/>
  <c r="I37" i="72"/>
  <c r="M37" i="72" s="1"/>
  <c r="N37" i="72" s="1"/>
  <c r="I35" i="90"/>
  <c r="I24" i="91"/>
  <c r="L24" i="91" s="1"/>
  <c r="N24" i="91" s="1"/>
  <c r="P26" i="72"/>
  <c r="S26" i="72" s="1"/>
  <c r="T26" i="72" s="1"/>
  <c r="I25" i="88"/>
  <c r="L25" i="88" s="1"/>
  <c r="N25" i="88" s="1"/>
  <c r="O27" i="87"/>
  <c r="H23" i="89"/>
  <c r="J23" i="89" s="1"/>
  <c r="L23" i="89" s="1"/>
  <c r="H23" i="86"/>
  <c r="O14" i="87"/>
  <c r="H13" i="89"/>
  <c r="J13" i="89" s="1"/>
  <c r="L13" i="89" s="1"/>
  <c r="H13" i="86"/>
  <c r="N51" i="84"/>
  <c r="P51" i="84" s="1"/>
  <c r="J72" i="84"/>
  <c r="L72" i="84" s="1"/>
  <c r="N72" i="84" s="1"/>
  <c r="J60" i="85"/>
  <c r="L60" i="85" s="1"/>
  <c r="N60" i="85" s="1"/>
  <c r="W20" i="85"/>
  <c r="X20" i="85" s="1"/>
  <c r="U20" i="84"/>
  <c r="V20" i="79"/>
  <c r="V7" i="84"/>
  <c r="J59" i="84" s="1"/>
  <c r="L59" i="84" s="1"/>
  <c r="N59" i="84" s="1"/>
  <c r="Z17" i="65"/>
  <c r="U18" i="65"/>
  <c r="V4" i="67"/>
  <c r="D27" i="67"/>
  <c r="O24" i="67" s="1"/>
  <c r="L46" i="74"/>
  <c r="G105" i="92" s="1"/>
  <c r="I105" i="92" s="1"/>
  <c r="J30" i="79"/>
  <c r="N30" i="79" s="1"/>
  <c r="P30" i="79" s="1"/>
  <c r="S14" i="67"/>
  <c r="N13" i="84"/>
  <c r="P13" i="84" s="1"/>
  <c r="V13" i="84"/>
  <c r="V14" i="84" s="1"/>
  <c r="N50" i="66"/>
  <c r="N47" i="66"/>
  <c r="N51" i="66"/>
  <c r="N46" i="66"/>
  <c r="N48" i="66"/>
  <c r="N45" i="66"/>
  <c r="N49" i="66"/>
  <c r="N44" i="66"/>
  <c r="N52" i="66"/>
  <c r="V19" i="66"/>
  <c r="V22" i="66"/>
  <c r="V24" i="66"/>
  <c r="V25" i="66"/>
  <c r="V17" i="66"/>
  <c r="V20" i="66"/>
  <c r="V23" i="66"/>
  <c r="V21" i="66"/>
  <c r="V18" i="66"/>
  <c r="I36" i="80"/>
  <c r="S36" i="80" s="1"/>
  <c r="U36" i="80" s="1"/>
  <c r="G6" i="68"/>
  <c r="L30" i="80"/>
  <c r="N30" i="80" s="1"/>
  <c r="O50" i="66"/>
  <c r="O47" i="66"/>
  <c r="O45" i="66"/>
  <c r="O51" i="66"/>
  <c r="O52" i="66"/>
  <c r="O44" i="66"/>
  <c r="O48" i="66"/>
  <c r="O49" i="66"/>
  <c r="O46" i="66"/>
  <c r="J31" i="82"/>
  <c r="L31" i="82" s="1"/>
  <c r="L32" i="75"/>
  <c r="G88" i="93" s="1"/>
  <c r="I88" i="93" s="1"/>
  <c r="J18" i="84"/>
  <c r="I50" i="77"/>
  <c r="I68" i="77"/>
  <c r="G83" i="77"/>
  <c r="H113" i="76"/>
  <c r="J98" i="76"/>
  <c r="L32" i="80"/>
  <c r="N32" i="80" s="1"/>
  <c r="G8" i="68"/>
  <c r="I38" i="80"/>
  <c r="S38" i="80" s="1"/>
  <c r="U38" i="80" s="1"/>
  <c r="W21" i="66"/>
  <c r="W23" i="66"/>
  <c r="W25" i="66"/>
  <c r="W20" i="66"/>
  <c r="W22" i="66"/>
  <c r="W24" i="66"/>
  <c r="W19" i="66"/>
  <c r="W18" i="66"/>
  <c r="W17" i="66"/>
  <c r="I67" i="77"/>
  <c r="G82" i="77"/>
  <c r="M44" i="66"/>
  <c r="M47" i="66"/>
  <c r="M48" i="66"/>
  <c r="M49" i="66"/>
  <c r="M50" i="66"/>
  <c r="M51" i="66"/>
  <c r="M45" i="66"/>
  <c r="M52" i="66"/>
  <c r="M46" i="66"/>
  <c r="V23" i="79"/>
  <c r="V24" i="79" s="1"/>
  <c r="N23" i="79"/>
  <c r="P23" i="79" s="1"/>
  <c r="F40" i="75"/>
  <c r="F25" i="84"/>
  <c r="S13" i="69"/>
  <c r="U20" i="66"/>
  <c r="U21" i="66"/>
  <c r="U23" i="66"/>
  <c r="U19" i="66"/>
  <c r="U24" i="66"/>
  <c r="U17" i="66"/>
  <c r="U18" i="66"/>
  <c r="U22" i="66"/>
  <c r="U25" i="66"/>
  <c r="L44" i="74"/>
  <c r="G103" i="92" s="1"/>
  <c r="I103" i="92" s="1"/>
  <c r="J28" i="79"/>
  <c r="N28" i="79" s="1"/>
  <c r="P28" i="79" s="1"/>
  <c r="H114" i="76"/>
  <c r="J99" i="76"/>
  <c r="J85" i="76"/>
  <c r="H11" i="76" s="1"/>
  <c r="L30" i="69"/>
  <c r="L45" i="74"/>
  <c r="G104" i="92" s="1"/>
  <c r="I104" i="92" s="1"/>
  <c r="J29" i="79"/>
  <c r="N29" i="79" s="1"/>
  <c r="P29" i="79" s="1"/>
  <c r="I69" i="77"/>
  <c r="G84" i="77"/>
  <c r="L34" i="75"/>
  <c r="G90" i="93" s="1"/>
  <c r="I90" i="93" s="1"/>
  <c r="J20" i="84"/>
  <c r="H112" i="76"/>
  <c r="J112" i="76" s="1"/>
  <c r="J97" i="76"/>
  <c r="R14" i="70"/>
  <c r="F39" i="75"/>
  <c r="F24" i="84"/>
  <c r="T18" i="66"/>
  <c r="U4" i="67"/>
  <c r="D26" i="67"/>
  <c r="N24" i="67" s="1"/>
  <c r="L32" i="70"/>
  <c r="L33" i="70" s="1"/>
  <c r="P44" i="66"/>
  <c r="P52" i="66"/>
  <c r="P48" i="66"/>
  <c r="P47" i="66"/>
  <c r="P45" i="66"/>
  <c r="P49" i="66"/>
  <c r="P51" i="66"/>
  <c r="P46" i="66"/>
  <c r="P50" i="66"/>
  <c r="F38" i="75"/>
  <c r="F23" i="84"/>
  <c r="U23" i="84" s="1"/>
  <c r="U24" i="84" s="1"/>
  <c r="H62" i="84" s="1"/>
  <c r="L31" i="80"/>
  <c r="N31" i="80" s="1"/>
  <c r="G7" i="68"/>
  <c r="I37" i="80"/>
  <c r="L33" i="75"/>
  <c r="G89" i="93" s="1"/>
  <c r="I89" i="93" s="1"/>
  <c r="J19" i="84"/>
  <c r="M44" i="65"/>
  <c r="R43" i="65"/>
  <c r="T4" i="67"/>
  <c r="D25" i="67"/>
  <c r="M24" i="67" s="1"/>
  <c r="X21" i="66"/>
  <c r="X19" i="66"/>
  <c r="X18" i="66"/>
  <c r="X20" i="66"/>
  <c r="X17" i="66"/>
  <c r="X23" i="66"/>
  <c r="X24" i="66"/>
  <c r="X22" i="66"/>
  <c r="X25" i="66"/>
  <c r="L45" i="66"/>
  <c r="W36" i="67"/>
  <c r="S15" i="68"/>
  <c r="L35" i="68"/>
  <c r="L34" i="67"/>
  <c r="W37" i="67"/>
  <c r="W34" i="67"/>
  <c r="Z45" i="65"/>
  <c r="U46" i="65"/>
  <c r="T35" i="68"/>
  <c r="T36" i="68"/>
  <c r="T34" i="68"/>
  <c r="T38" i="68"/>
  <c r="T37" i="68"/>
  <c r="T33" i="68"/>
  <c r="V36" i="68"/>
  <c r="V35" i="68"/>
  <c r="V34" i="68"/>
  <c r="V33" i="68"/>
  <c r="V38" i="68"/>
  <c r="V37" i="68"/>
  <c r="U33" i="68"/>
  <c r="U37" i="68"/>
  <c r="U35" i="68"/>
  <c r="U36" i="68"/>
  <c r="U34" i="68"/>
  <c r="U38" i="68"/>
  <c r="W37" i="80"/>
  <c r="Y37" i="80" s="1"/>
  <c r="J35" i="85"/>
  <c r="N35" i="85" s="1"/>
  <c r="P35" i="85" s="1"/>
  <c r="P44" i="80"/>
  <c r="W33" i="67"/>
  <c r="W36" i="80"/>
  <c r="Y36" i="80" s="1"/>
  <c r="J34" i="85"/>
  <c r="P43" i="80"/>
  <c r="W38" i="80"/>
  <c r="Y38" i="80" s="1"/>
  <c r="T47" i="66"/>
  <c r="Y46" i="66"/>
  <c r="J33" i="85"/>
  <c r="P42" i="80"/>
  <c r="N23" i="85"/>
  <c r="P23" i="85" s="1"/>
  <c r="V23" i="85"/>
  <c r="V24" i="85" s="1"/>
  <c r="W24" i="85" s="1"/>
  <c r="W35" i="67"/>
  <c r="W66" i="68"/>
  <c r="W65" i="68"/>
  <c r="G55" i="69"/>
  <c r="U53" i="69" s="1"/>
  <c r="G56" i="69"/>
  <c r="V53" i="69" s="1"/>
  <c r="Z74" i="65"/>
  <c r="U75" i="65"/>
  <c r="L51" i="2"/>
  <c r="Y81" i="66"/>
  <c r="T82" i="66"/>
  <c r="G114" i="15"/>
  <c r="I114" i="15" s="1"/>
  <c r="G113" i="15"/>
  <c r="I113" i="15" s="1"/>
  <c r="L50" i="2"/>
  <c r="G112" i="15"/>
  <c r="I112" i="15" s="1"/>
  <c r="F38" i="26"/>
  <c r="V23" i="16"/>
  <c r="W7" i="84" l="1"/>
  <c r="X7" i="84" s="1"/>
  <c r="I91" i="93"/>
  <c r="I9" i="93" s="1"/>
  <c r="I106" i="92"/>
  <c r="I10" i="92" s="1"/>
  <c r="I43" i="90"/>
  <c r="I45" i="72"/>
  <c r="M45" i="72" s="1"/>
  <c r="N45" i="72" s="1"/>
  <c r="W14" i="87"/>
  <c r="Y14" i="87" s="1"/>
  <c r="AA14" i="87" s="1"/>
  <c r="I32" i="88"/>
  <c r="L32" i="88" s="1"/>
  <c r="N32" i="88" s="1"/>
  <c r="P33" i="72"/>
  <c r="S33" i="72" s="1"/>
  <c r="T33" i="72" s="1"/>
  <c r="I31" i="91"/>
  <c r="L31" i="91" s="1"/>
  <c r="N31" i="91" s="1"/>
  <c r="J33" i="79"/>
  <c r="N33" i="79" s="1"/>
  <c r="P33" i="79" s="1"/>
  <c r="I43" i="72"/>
  <c r="M43" i="72" s="1"/>
  <c r="N43" i="72" s="1"/>
  <c r="I41" i="90"/>
  <c r="L37" i="90"/>
  <c r="N37" i="90" s="1"/>
  <c r="F37" i="91"/>
  <c r="H12" i="82"/>
  <c r="F12" i="86" s="1"/>
  <c r="J12" i="86" s="1"/>
  <c r="L12" i="86" s="1"/>
  <c r="G13" i="87"/>
  <c r="M25" i="87"/>
  <c r="Q25" i="87" s="1"/>
  <c r="S25" i="87" s="1"/>
  <c r="I25" i="87"/>
  <c r="K25" i="87" s="1"/>
  <c r="H32" i="89"/>
  <c r="J32" i="89" s="1"/>
  <c r="L32" i="89" s="1"/>
  <c r="H32" i="86"/>
  <c r="O39" i="87"/>
  <c r="O40" i="87"/>
  <c r="H33" i="89"/>
  <c r="J33" i="89" s="1"/>
  <c r="L33" i="89" s="1"/>
  <c r="H33" i="86"/>
  <c r="W27" i="87"/>
  <c r="Y27" i="87" s="1"/>
  <c r="AA27" i="87" s="1"/>
  <c r="M38" i="87"/>
  <c r="Q38" i="87" s="1"/>
  <c r="S38" i="87" s="1"/>
  <c r="I38" i="87"/>
  <c r="K38" i="87" s="1"/>
  <c r="F21" i="86"/>
  <c r="J21" i="86" s="1"/>
  <c r="L21" i="86" s="1"/>
  <c r="J21" i="82"/>
  <c r="L21" i="82" s="1"/>
  <c r="H14" i="89"/>
  <c r="J14" i="89" s="1"/>
  <c r="L14" i="89" s="1"/>
  <c r="H14" i="86"/>
  <c r="O15" i="87"/>
  <c r="O43" i="87"/>
  <c r="H36" i="89"/>
  <c r="J36" i="89" s="1"/>
  <c r="L36" i="89" s="1"/>
  <c r="H36" i="86"/>
  <c r="W20" i="79"/>
  <c r="X21" i="79" s="1"/>
  <c r="I60" i="79"/>
  <c r="I44" i="72"/>
  <c r="M44" i="72" s="1"/>
  <c r="N44" i="72" s="1"/>
  <c r="I42" i="90"/>
  <c r="F36" i="91"/>
  <c r="L36" i="90"/>
  <c r="N36" i="90" s="1"/>
  <c r="W26" i="87"/>
  <c r="Y26" i="87" s="1"/>
  <c r="AA26" i="87" s="1"/>
  <c r="H34" i="89"/>
  <c r="J34" i="89" s="1"/>
  <c r="L34" i="89" s="1"/>
  <c r="H34" i="86"/>
  <c r="O41" i="87"/>
  <c r="O28" i="87"/>
  <c r="H24" i="89"/>
  <c r="J24" i="89" s="1"/>
  <c r="L24" i="89" s="1"/>
  <c r="H24" i="86"/>
  <c r="F35" i="91"/>
  <c r="L35" i="90"/>
  <c r="N35" i="90" s="1"/>
  <c r="I29" i="91"/>
  <c r="L29" i="91" s="1"/>
  <c r="N29" i="91" s="1"/>
  <c r="I30" i="88"/>
  <c r="L30" i="88" s="1"/>
  <c r="N30" i="88" s="1"/>
  <c r="P31" i="72"/>
  <c r="S31" i="72" s="1"/>
  <c r="T31" i="72" s="1"/>
  <c r="I31" i="88"/>
  <c r="L31" i="88" s="1"/>
  <c r="N31" i="88" s="1"/>
  <c r="I30" i="91"/>
  <c r="L30" i="91" s="1"/>
  <c r="N30" i="91" s="1"/>
  <c r="P32" i="72"/>
  <c r="S32" i="72" s="1"/>
  <c r="T32" i="72" s="1"/>
  <c r="W37" i="68"/>
  <c r="H35" i="89"/>
  <c r="J35" i="89" s="1"/>
  <c r="L35" i="89" s="1"/>
  <c r="H35" i="86"/>
  <c r="O42" i="87"/>
  <c r="J11" i="82"/>
  <c r="L11" i="82" s="1"/>
  <c r="M12" i="87"/>
  <c r="Q12" i="87" s="1"/>
  <c r="S12" i="87" s="1"/>
  <c r="I12" i="87"/>
  <c r="K12" i="87" s="1"/>
  <c r="Q44" i="66"/>
  <c r="I70" i="77"/>
  <c r="G10" i="77" s="1"/>
  <c r="W34" i="68"/>
  <c r="Y17" i="66"/>
  <c r="L46" i="66"/>
  <c r="Q45" i="66"/>
  <c r="M34" i="67"/>
  <c r="M35" i="67"/>
  <c r="M36" i="67"/>
  <c r="M37" i="67"/>
  <c r="M33" i="67"/>
  <c r="U13" i="67"/>
  <c r="U15" i="67"/>
  <c r="U14" i="67"/>
  <c r="U17" i="67"/>
  <c r="U16" i="67"/>
  <c r="F46" i="75"/>
  <c r="F30" i="84"/>
  <c r="G9" i="77"/>
  <c r="I53" i="77"/>
  <c r="T13" i="67"/>
  <c r="T16" i="67"/>
  <c r="T15" i="67"/>
  <c r="T14" i="67"/>
  <c r="T17" i="67"/>
  <c r="L38" i="80"/>
  <c r="N38" i="80" s="1"/>
  <c r="I44" i="80"/>
  <c r="S44" i="80" s="1"/>
  <c r="U44" i="80" s="1"/>
  <c r="J60" i="84"/>
  <c r="L60" i="84" s="1"/>
  <c r="N60" i="84" s="1"/>
  <c r="W14" i="84"/>
  <c r="X14" i="84" s="1"/>
  <c r="T19" i="66"/>
  <c r="Y18" i="66"/>
  <c r="L50" i="74"/>
  <c r="G117" i="92" s="1"/>
  <c r="I117" i="92" s="1"/>
  <c r="J34" i="79"/>
  <c r="I82" i="77"/>
  <c r="G97" i="77"/>
  <c r="V5" i="68"/>
  <c r="D28" i="68"/>
  <c r="O25" i="68" s="1"/>
  <c r="V17" i="84"/>
  <c r="N18" i="84"/>
  <c r="P18" i="84" s="1"/>
  <c r="N19" i="84"/>
  <c r="P19" i="84" s="1"/>
  <c r="V18" i="84"/>
  <c r="F45" i="75"/>
  <c r="F29" i="84"/>
  <c r="L31" i="69"/>
  <c r="J61" i="79"/>
  <c r="L61" i="79" s="1"/>
  <c r="N61" i="79" s="1"/>
  <c r="W24" i="79"/>
  <c r="X24" i="79" s="1"/>
  <c r="D26" i="68"/>
  <c r="M25" i="68" s="1"/>
  <c r="T5" i="68"/>
  <c r="S15" i="67"/>
  <c r="F44" i="75"/>
  <c r="F33" i="84" s="1"/>
  <c r="U33" i="84" s="1"/>
  <c r="F28" i="84"/>
  <c r="L35" i="67"/>
  <c r="J24" i="84"/>
  <c r="N24" i="84" s="1"/>
  <c r="P24" i="84" s="1"/>
  <c r="L39" i="75"/>
  <c r="I42" i="80"/>
  <c r="S42" i="80" s="1"/>
  <c r="U42" i="80" s="1"/>
  <c r="L36" i="80"/>
  <c r="N36" i="80" s="1"/>
  <c r="I84" i="77"/>
  <c r="G99" i="77"/>
  <c r="L51" i="74"/>
  <c r="G118" i="92" s="1"/>
  <c r="I118" i="92" s="1"/>
  <c r="J35" i="79"/>
  <c r="N35" i="79" s="1"/>
  <c r="P35" i="79" s="1"/>
  <c r="H126" i="76"/>
  <c r="J126" i="76" s="1"/>
  <c r="J113" i="76"/>
  <c r="L36" i="68"/>
  <c r="D27" i="68"/>
  <c r="N25" i="68" s="1"/>
  <c r="U5" i="68"/>
  <c r="J100" i="76"/>
  <c r="H12" i="76" s="1"/>
  <c r="O35" i="67"/>
  <c r="O36" i="67"/>
  <c r="O37" i="67"/>
  <c r="O34" i="67"/>
  <c r="O33" i="67"/>
  <c r="R15" i="70"/>
  <c r="V16" i="67"/>
  <c r="V17" i="67"/>
  <c r="V14" i="67"/>
  <c r="V13" i="67"/>
  <c r="V15" i="67"/>
  <c r="N34" i="67"/>
  <c r="N35" i="67"/>
  <c r="N36" i="67"/>
  <c r="N37" i="67"/>
  <c r="N33" i="67"/>
  <c r="L38" i="75"/>
  <c r="J23" i="84"/>
  <c r="W35" i="68"/>
  <c r="L37" i="80"/>
  <c r="N37" i="80" s="1"/>
  <c r="I43" i="80"/>
  <c r="S43" i="80" s="1"/>
  <c r="U43" i="80" s="1"/>
  <c r="S37" i="80"/>
  <c r="U37" i="80" s="1"/>
  <c r="S16" i="68"/>
  <c r="V19" i="84"/>
  <c r="L61" i="84" s="1"/>
  <c r="N61" i="84" s="1"/>
  <c r="N20" i="84"/>
  <c r="P20" i="84" s="1"/>
  <c r="H127" i="76"/>
  <c r="J127" i="76" s="1"/>
  <c r="J114" i="76"/>
  <c r="I83" i="77"/>
  <c r="G98" i="77"/>
  <c r="Z18" i="65"/>
  <c r="U19" i="65"/>
  <c r="R44" i="65"/>
  <c r="M45" i="65"/>
  <c r="L34" i="70"/>
  <c r="L40" i="75"/>
  <c r="J25" i="84"/>
  <c r="N25" i="84" s="1"/>
  <c r="P25" i="84" s="1"/>
  <c r="S14" i="69"/>
  <c r="G23" i="69"/>
  <c r="U21" i="69" s="1"/>
  <c r="P52" i="80"/>
  <c r="W43" i="80"/>
  <c r="Y43" i="80" s="1"/>
  <c r="J61" i="85"/>
  <c r="L61" i="85" s="1"/>
  <c r="N61" i="85" s="1"/>
  <c r="X24" i="85"/>
  <c r="P53" i="80"/>
  <c r="G24" i="69"/>
  <c r="V21" i="69" s="1"/>
  <c r="W44" i="80"/>
  <c r="Y44" i="80" s="1"/>
  <c r="W36" i="68"/>
  <c r="N34" i="85"/>
  <c r="P34" i="85" s="1"/>
  <c r="V34" i="85"/>
  <c r="G22" i="69"/>
  <c r="T21" i="69" s="1"/>
  <c r="W42" i="80"/>
  <c r="Y42" i="80" s="1"/>
  <c r="W38" i="68"/>
  <c r="W33" i="68"/>
  <c r="N33" i="85"/>
  <c r="P33" i="85" s="1"/>
  <c r="V33" i="85"/>
  <c r="L55" i="2"/>
  <c r="J38" i="85"/>
  <c r="N38" i="85" s="1"/>
  <c r="P38" i="85" s="1"/>
  <c r="G127" i="15"/>
  <c r="I127" i="15" s="1"/>
  <c r="J39" i="85"/>
  <c r="N39" i="85" s="1"/>
  <c r="P39" i="85" s="1"/>
  <c r="Y47" i="66"/>
  <c r="T48" i="66"/>
  <c r="U47" i="65"/>
  <c r="Z46" i="65"/>
  <c r="V64" i="69"/>
  <c r="U63" i="69"/>
  <c r="U64" i="69"/>
  <c r="U61" i="69"/>
  <c r="V63" i="69"/>
  <c r="U62" i="69"/>
  <c r="U60" i="69"/>
  <c r="L56" i="2"/>
  <c r="G54" i="69"/>
  <c r="T53" i="69" s="1"/>
  <c r="G53" i="70"/>
  <c r="S52" i="70" s="1"/>
  <c r="G54" i="70"/>
  <c r="T52" i="70" s="1"/>
  <c r="G126" i="15"/>
  <c r="I126" i="15" s="1"/>
  <c r="Y82" i="66"/>
  <c r="T83" i="66"/>
  <c r="U76" i="65"/>
  <c r="Z75" i="65"/>
  <c r="I115" i="15"/>
  <c r="G13" i="15" s="1"/>
  <c r="G19" i="5"/>
  <c r="E19" i="5"/>
  <c r="C19" i="5"/>
  <c r="V33" i="79" l="1"/>
  <c r="I119" i="92"/>
  <c r="I11" i="92" s="1"/>
  <c r="I12" i="92" s="1"/>
  <c r="I14" i="92" s="1"/>
  <c r="I16" i="92" s="1"/>
  <c r="J12" i="82"/>
  <c r="L12" i="82" s="1"/>
  <c r="O29" i="87"/>
  <c r="H25" i="89"/>
  <c r="J25" i="89" s="1"/>
  <c r="L25" i="89" s="1"/>
  <c r="H25" i="86"/>
  <c r="I37" i="88"/>
  <c r="L37" i="88" s="1"/>
  <c r="N37" i="88" s="1"/>
  <c r="P38" i="72"/>
  <c r="S38" i="72" s="1"/>
  <c r="T38" i="72" s="1"/>
  <c r="I36" i="91"/>
  <c r="L36" i="91" s="1"/>
  <c r="N36" i="91" s="1"/>
  <c r="W42" i="87"/>
  <c r="Y42" i="87" s="1"/>
  <c r="AA42" i="87" s="1"/>
  <c r="O51" i="87"/>
  <c r="H44" i="89"/>
  <c r="J44" i="89" s="1"/>
  <c r="L44" i="89" s="1"/>
  <c r="H44" i="86"/>
  <c r="W41" i="87"/>
  <c r="Y41" i="87" s="1"/>
  <c r="AA41" i="87" s="1"/>
  <c r="H23" i="82"/>
  <c r="F23" i="86" s="1"/>
  <c r="J23" i="86" s="1"/>
  <c r="L23" i="86" s="1"/>
  <c r="G27" i="87"/>
  <c r="W43" i="87"/>
  <c r="Y43" i="87" s="1"/>
  <c r="AA43" i="87" s="1"/>
  <c r="W40" i="87"/>
  <c r="Y40" i="87" s="1"/>
  <c r="AA40" i="87" s="1"/>
  <c r="H22" i="82"/>
  <c r="F22" i="86" s="1"/>
  <c r="J22" i="86" s="1"/>
  <c r="L22" i="86" s="1"/>
  <c r="G26" i="87"/>
  <c r="W15" i="87"/>
  <c r="Y15" i="87" s="1"/>
  <c r="AA15" i="87" s="1"/>
  <c r="W39" i="87"/>
  <c r="Y39" i="87" s="1"/>
  <c r="AA39" i="87" s="1"/>
  <c r="I37" i="91"/>
  <c r="L37" i="91" s="1"/>
  <c r="N37" i="91" s="1"/>
  <c r="P39" i="72"/>
  <c r="S39" i="72" s="1"/>
  <c r="T39" i="72" s="1"/>
  <c r="I38" i="88"/>
  <c r="L38" i="88" s="1"/>
  <c r="N38" i="88" s="1"/>
  <c r="W28" i="87"/>
  <c r="Y28" i="87" s="1"/>
  <c r="AA28" i="87" s="1"/>
  <c r="H41" i="89"/>
  <c r="J41" i="89" s="1"/>
  <c r="L41" i="89" s="1"/>
  <c r="H41" i="86"/>
  <c r="O48" i="87"/>
  <c r="I50" i="72"/>
  <c r="M50" i="72" s="1"/>
  <c r="N50" i="72" s="1"/>
  <c r="I48" i="90"/>
  <c r="L41" i="90"/>
  <c r="N41" i="90" s="1"/>
  <c r="F41" i="91"/>
  <c r="H13" i="82"/>
  <c r="F13" i="86" s="1"/>
  <c r="J13" i="86" s="1"/>
  <c r="L13" i="86" s="1"/>
  <c r="G14" i="87"/>
  <c r="O47" i="87"/>
  <c r="H40" i="89"/>
  <c r="J40" i="89" s="1"/>
  <c r="L40" i="89" s="1"/>
  <c r="H40" i="86"/>
  <c r="P37" i="72"/>
  <c r="S37" i="72" s="1"/>
  <c r="T37" i="72" s="1"/>
  <c r="I36" i="88"/>
  <c r="L36" i="88" s="1"/>
  <c r="N36" i="88" s="1"/>
  <c r="I35" i="91"/>
  <c r="L35" i="91" s="1"/>
  <c r="N35" i="91" s="1"/>
  <c r="H45" i="89"/>
  <c r="J45" i="89" s="1"/>
  <c r="L45" i="89" s="1"/>
  <c r="H45" i="86"/>
  <c r="O52" i="87"/>
  <c r="L42" i="90"/>
  <c r="N42" i="90" s="1"/>
  <c r="F42" i="91"/>
  <c r="M13" i="87"/>
  <c r="Q13" i="87" s="1"/>
  <c r="S13" i="87" s="1"/>
  <c r="I13" i="87"/>
  <c r="K13" i="87" s="1"/>
  <c r="O50" i="87"/>
  <c r="H43" i="89"/>
  <c r="J43" i="89" s="1"/>
  <c r="L43" i="89" s="1"/>
  <c r="H43" i="86"/>
  <c r="O49" i="87"/>
  <c r="H42" i="89"/>
  <c r="J42" i="89" s="1"/>
  <c r="L42" i="89" s="1"/>
  <c r="H42" i="86"/>
  <c r="H15" i="89"/>
  <c r="J15" i="89" s="1"/>
  <c r="L15" i="89" s="1"/>
  <c r="H15" i="86"/>
  <c r="O16" i="87"/>
  <c r="I49" i="72"/>
  <c r="M49" i="72" s="1"/>
  <c r="N49" i="72" s="1"/>
  <c r="I47" i="90"/>
  <c r="L43" i="90"/>
  <c r="N43" i="90" s="1"/>
  <c r="F43" i="91"/>
  <c r="V20" i="84"/>
  <c r="W20" i="84" s="1"/>
  <c r="X20" i="84" s="1"/>
  <c r="W14" i="67"/>
  <c r="P34" i="67"/>
  <c r="J128" i="76"/>
  <c r="H14" i="76" s="1"/>
  <c r="J115" i="76"/>
  <c r="H13" i="76" s="1"/>
  <c r="I85" i="77"/>
  <c r="G11" i="77" s="1"/>
  <c r="N34" i="79"/>
  <c r="P34" i="79" s="1"/>
  <c r="V34" i="79"/>
  <c r="V35" i="79" s="1"/>
  <c r="M46" i="65"/>
  <c r="R45" i="65"/>
  <c r="L56" i="74"/>
  <c r="J39" i="79"/>
  <c r="N39" i="79" s="1"/>
  <c r="P39" i="79" s="1"/>
  <c r="L36" i="67"/>
  <c r="P35" i="67"/>
  <c r="L32" i="69"/>
  <c r="L55" i="74"/>
  <c r="J38" i="79"/>
  <c r="N38" i="79" s="1"/>
  <c r="P38" i="79" s="1"/>
  <c r="P33" i="67"/>
  <c r="S17" i="68"/>
  <c r="Z19" i="65"/>
  <c r="U20" i="65"/>
  <c r="F50" i="75"/>
  <c r="F34" i="84"/>
  <c r="U34" i="84" s="1"/>
  <c r="U35" i="84" s="1"/>
  <c r="H63" i="84" s="1"/>
  <c r="Y19" i="66"/>
  <c r="T20" i="66"/>
  <c r="W13" i="67"/>
  <c r="G6" i="69"/>
  <c r="I52" i="80"/>
  <c r="S52" i="80" s="1"/>
  <c r="L43" i="80"/>
  <c r="N43" i="80" s="1"/>
  <c r="G114" i="77"/>
  <c r="I99" i="77"/>
  <c r="S16" i="67"/>
  <c r="W15" i="67"/>
  <c r="R16" i="70"/>
  <c r="I98" i="77"/>
  <c r="G113" i="77"/>
  <c r="V35" i="85"/>
  <c r="J62" i="85" s="1"/>
  <c r="L62" i="85" s="1"/>
  <c r="N62" i="85" s="1"/>
  <c r="U13" i="68"/>
  <c r="U15" i="68"/>
  <c r="U16" i="68"/>
  <c r="U18" i="68"/>
  <c r="U14" i="68"/>
  <c r="U17" i="68"/>
  <c r="T13" i="68"/>
  <c r="T16" i="68"/>
  <c r="T14" i="68"/>
  <c r="T15" i="68"/>
  <c r="T18" i="68"/>
  <c r="T17" i="68"/>
  <c r="I128" i="15"/>
  <c r="G14" i="15" s="1"/>
  <c r="G15" i="15" s="1"/>
  <c r="G18" i="15" s="1"/>
  <c r="O9" i="15" s="1"/>
  <c r="O11" i="15" s="1"/>
  <c r="N37" i="68"/>
  <c r="N35" i="68"/>
  <c r="N38" i="68"/>
  <c r="N33" i="68"/>
  <c r="N36" i="68"/>
  <c r="N34" i="68"/>
  <c r="G5" i="69"/>
  <c r="L42" i="80"/>
  <c r="N42" i="80" s="1"/>
  <c r="M33" i="68"/>
  <c r="M34" i="68"/>
  <c r="M37" i="68"/>
  <c r="M35" i="68"/>
  <c r="M36" i="68"/>
  <c r="M38" i="68"/>
  <c r="F51" i="75"/>
  <c r="F35" i="84"/>
  <c r="Q46" i="66"/>
  <c r="L47" i="66"/>
  <c r="S15" i="69"/>
  <c r="N23" i="84"/>
  <c r="P23" i="84" s="1"/>
  <c r="V23" i="84"/>
  <c r="V24" i="84" s="1"/>
  <c r="O36" i="68"/>
  <c r="O37" i="68"/>
  <c r="O35" i="68"/>
  <c r="O38" i="68"/>
  <c r="O33" i="68"/>
  <c r="O34" i="68"/>
  <c r="G7" i="69"/>
  <c r="I53" i="80"/>
  <c r="S53" i="80" s="1"/>
  <c r="L44" i="80"/>
  <c r="N44" i="80" s="1"/>
  <c r="J28" i="84"/>
  <c r="N28" i="84" s="1"/>
  <c r="P28" i="84" s="1"/>
  <c r="L44" i="75"/>
  <c r="G103" i="93" s="1"/>
  <c r="I103" i="93" s="1"/>
  <c r="L37" i="68"/>
  <c r="V15" i="68"/>
  <c r="V18" i="68"/>
  <c r="V14" i="68"/>
  <c r="V17" i="68"/>
  <c r="V13" i="68"/>
  <c r="V16" i="68"/>
  <c r="L46" i="75"/>
  <c r="G105" i="93" s="1"/>
  <c r="I105" i="93" s="1"/>
  <c r="J30" i="84"/>
  <c r="N30" i="84" s="1"/>
  <c r="P30" i="84" s="1"/>
  <c r="L45" i="75"/>
  <c r="G104" i="93" s="1"/>
  <c r="I104" i="93" s="1"/>
  <c r="J29" i="84"/>
  <c r="N29" i="84" s="1"/>
  <c r="P29" i="84" s="1"/>
  <c r="I97" i="77"/>
  <c r="G112" i="77"/>
  <c r="I112" i="77" s="1"/>
  <c r="Z47" i="65"/>
  <c r="U48" i="65"/>
  <c r="J42" i="85"/>
  <c r="N42" i="85" s="1"/>
  <c r="P42" i="85" s="1"/>
  <c r="P57" i="80"/>
  <c r="W52" i="80"/>
  <c r="Y52" i="80" s="1"/>
  <c r="T49" i="66"/>
  <c r="Y48" i="66"/>
  <c r="U30" i="69"/>
  <c r="U29" i="69"/>
  <c r="U31" i="69"/>
  <c r="U32" i="69"/>
  <c r="U28" i="69"/>
  <c r="T28" i="69"/>
  <c r="T31" i="69"/>
  <c r="T30" i="69"/>
  <c r="T29" i="69"/>
  <c r="T32" i="69"/>
  <c r="J43" i="85"/>
  <c r="P58" i="80"/>
  <c r="V28" i="69"/>
  <c r="V32" i="69"/>
  <c r="V30" i="69"/>
  <c r="V29" i="69"/>
  <c r="V31" i="69"/>
  <c r="W53" i="80"/>
  <c r="Y53" i="80" s="1"/>
  <c r="T59" i="70"/>
  <c r="T60" i="70"/>
  <c r="T63" i="70"/>
  <c r="T61" i="70"/>
  <c r="T62" i="70"/>
  <c r="S60" i="70"/>
  <c r="U60" i="70" s="1"/>
  <c r="S63" i="70"/>
  <c r="S59" i="70"/>
  <c r="U59" i="70" s="1"/>
  <c r="S62" i="70"/>
  <c r="S61" i="70"/>
  <c r="U61" i="70" s="1"/>
  <c r="T64" i="69"/>
  <c r="W64" i="69" s="1"/>
  <c r="T61" i="69"/>
  <c r="W61" i="69" s="1"/>
  <c r="T62" i="69"/>
  <c r="W62" i="69" s="1"/>
  <c r="T63" i="69"/>
  <c r="W63" i="69" s="1"/>
  <c r="T60" i="69"/>
  <c r="W60" i="69" s="1"/>
  <c r="U77" i="65"/>
  <c r="Z76" i="65"/>
  <c r="T84" i="66"/>
  <c r="Y83" i="66"/>
  <c r="L51" i="34"/>
  <c r="J22" i="82" l="1"/>
  <c r="L22" i="82" s="1"/>
  <c r="I15" i="93"/>
  <c r="I106" i="93"/>
  <c r="I10" i="93" s="1"/>
  <c r="J13" i="82"/>
  <c r="L13" i="82" s="1"/>
  <c r="J23" i="82"/>
  <c r="L23" i="82" s="1"/>
  <c r="H15" i="76"/>
  <c r="H18" i="76" s="1"/>
  <c r="H20" i="76" s="1"/>
  <c r="W52" i="87"/>
  <c r="Y52" i="87" s="1"/>
  <c r="AA52" i="87" s="1"/>
  <c r="F48" i="91"/>
  <c r="L48" i="90"/>
  <c r="N48" i="90" s="1"/>
  <c r="H16" i="89"/>
  <c r="J16" i="89" s="1"/>
  <c r="L16" i="89" s="1"/>
  <c r="H16" i="86"/>
  <c r="O17" i="87"/>
  <c r="W48" i="87"/>
  <c r="Y48" i="87" s="1"/>
  <c r="AA48" i="87" s="1"/>
  <c r="M26" i="87"/>
  <c r="Q26" i="87" s="1"/>
  <c r="S26" i="87" s="1"/>
  <c r="I26" i="87"/>
  <c r="K26" i="87" s="1"/>
  <c r="W51" i="87"/>
  <c r="Y51" i="87" s="1"/>
  <c r="AA51" i="87" s="1"/>
  <c r="J42" i="79"/>
  <c r="N42" i="79" s="1"/>
  <c r="P42" i="79" s="1"/>
  <c r="I52" i="90"/>
  <c r="I54" i="72"/>
  <c r="M54" i="72" s="1"/>
  <c r="N54" i="72" s="1"/>
  <c r="H24" i="82"/>
  <c r="F24" i="86" s="1"/>
  <c r="J24" i="86" s="1"/>
  <c r="L24" i="86" s="1"/>
  <c r="G28" i="87"/>
  <c r="W49" i="87"/>
  <c r="Y49" i="87" s="1"/>
  <c r="AA49" i="87" s="1"/>
  <c r="J43" i="79"/>
  <c r="V43" i="79" s="1"/>
  <c r="I53" i="90"/>
  <c r="I55" i="72"/>
  <c r="M55" i="72" s="1"/>
  <c r="N55" i="72" s="1"/>
  <c r="H33" i="82"/>
  <c r="G40" i="87"/>
  <c r="H32" i="82"/>
  <c r="F32" i="86" s="1"/>
  <c r="J32" i="86" s="1"/>
  <c r="L32" i="86" s="1"/>
  <c r="G39" i="87"/>
  <c r="H34" i="82"/>
  <c r="F34" i="86" s="1"/>
  <c r="J34" i="86" s="1"/>
  <c r="L34" i="86" s="1"/>
  <c r="G41" i="87"/>
  <c r="J33" i="84"/>
  <c r="P43" i="72"/>
  <c r="S43" i="72" s="1"/>
  <c r="T43" i="72" s="1"/>
  <c r="I41" i="91"/>
  <c r="L41" i="91" s="1"/>
  <c r="N41" i="91" s="1"/>
  <c r="I42" i="88"/>
  <c r="L42" i="88" s="1"/>
  <c r="N42" i="88" s="1"/>
  <c r="I42" i="91"/>
  <c r="L42" i="91" s="1"/>
  <c r="N42" i="91" s="1"/>
  <c r="I43" i="88"/>
  <c r="L43" i="88" s="1"/>
  <c r="N43" i="88" s="1"/>
  <c r="P44" i="72"/>
  <c r="S44" i="72" s="1"/>
  <c r="T44" i="72" s="1"/>
  <c r="W50" i="87"/>
  <c r="Y50" i="87" s="1"/>
  <c r="AA50" i="87" s="1"/>
  <c r="H14" i="82"/>
  <c r="F14" i="86" s="1"/>
  <c r="J14" i="86" s="1"/>
  <c r="L14" i="86" s="1"/>
  <c r="G15" i="87"/>
  <c r="W47" i="87"/>
  <c r="Y47" i="87" s="1"/>
  <c r="AA47" i="87" s="1"/>
  <c r="H26" i="89"/>
  <c r="J26" i="89" s="1"/>
  <c r="L26" i="89" s="1"/>
  <c r="H26" i="86"/>
  <c r="O30" i="87"/>
  <c r="I44" i="88"/>
  <c r="L44" i="88" s="1"/>
  <c r="N44" i="88" s="1"/>
  <c r="I43" i="91"/>
  <c r="L43" i="91" s="1"/>
  <c r="N43" i="91" s="1"/>
  <c r="P45" i="72"/>
  <c r="S45" i="72" s="1"/>
  <c r="T45" i="72" s="1"/>
  <c r="F47" i="91"/>
  <c r="L47" i="90"/>
  <c r="N47" i="90" s="1"/>
  <c r="M14" i="87"/>
  <c r="Q14" i="87" s="1"/>
  <c r="S14" i="87" s="1"/>
  <c r="I14" i="87"/>
  <c r="K14" i="87" s="1"/>
  <c r="M27" i="87"/>
  <c r="Q27" i="87" s="1"/>
  <c r="S27" i="87" s="1"/>
  <c r="I27" i="87"/>
  <c r="K27" i="87" s="1"/>
  <c r="W16" i="87"/>
  <c r="Y16" i="87" s="1"/>
  <c r="AA16" i="87" s="1"/>
  <c r="W29" i="87"/>
  <c r="Y29" i="87" s="1"/>
  <c r="AA29" i="87" s="1"/>
  <c r="W15" i="68"/>
  <c r="P7" i="76"/>
  <c r="P9" i="76"/>
  <c r="P11" i="76" s="1"/>
  <c r="D4" i="78"/>
  <c r="D8" i="78" s="1"/>
  <c r="D10" i="78" s="1"/>
  <c r="W35" i="85"/>
  <c r="X35" i="85" s="1"/>
  <c r="P36" i="68"/>
  <c r="W16" i="68"/>
  <c r="J62" i="84"/>
  <c r="L62" i="84" s="1"/>
  <c r="N62" i="84" s="1"/>
  <c r="W24" i="84"/>
  <c r="X24" i="84" s="1"/>
  <c r="P34" i="68"/>
  <c r="I57" i="80"/>
  <c r="S57" i="80" s="1"/>
  <c r="L52" i="80"/>
  <c r="N52" i="80" s="1"/>
  <c r="R46" i="65"/>
  <c r="M47" i="65"/>
  <c r="L51" i="75"/>
  <c r="G118" i="93" s="1"/>
  <c r="I118" i="93" s="1"/>
  <c r="J35" i="84"/>
  <c r="N35" i="84" s="1"/>
  <c r="P35" i="84" s="1"/>
  <c r="L53" i="80"/>
  <c r="N53" i="80" s="1"/>
  <c r="I58" i="80"/>
  <c r="S58" i="80" s="1"/>
  <c r="P33" i="68"/>
  <c r="W17" i="68"/>
  <c r="S18" i="68"/>
  <c r="W18" i="68" s="1"/>
  <c r="W35" i="79"/>
  <c r="X35" i="79" s="1"/>
  <c r="J62" i="79"/>
  <c r="L62" i="79" s="1"/>
  <c r="N62" i="79" s="1"/>
  <c r="U4" i="69"/>
  <c r="D23" i="69"/>
  <c r="N21" i="69" s="1"/>
  <c r="V4" i="69"/>
  <c r="D24" i="69"/>
  <c r="O21" i="69" s="1"/>
  <c r="W14" i="68"/>
  <c r="G126" i="77"/>
  <c r="I126" i="77" s="1"/>
  <c r="I113" i="77"/>
  <c r="D22" i="69"/>
  <c r="M21" i="69" s="1"/>
  <c r="T4" i="69"/>
  <c r="W13" i="68"/>
  <c r="J34" i="84"/>
  <c r="L50" i="75"/>
  <c r="G117" i="93" s="1"/>
  <c r="I117" i="93" s="1"/>
  <c r="Y20" i="66"/>
  <c r="T21" i="66"/>
  <c r="W30" i="69"/>
  <c r="F56" i="75"/>
  <c r="F43" i="84" s="1"/>
  <c r="U43" i="84" s="1"/>
  <c r="F39" i="84"/>
  <c r="J24" i="82"/>
  <c r="L24" i="82" s="1"/>
  <c r="S17" i="67"/>
  <c r="W17" i="67" s="1"/>
  <c r="W16" i="67"/>
  <c r="L37" i="67"/>
  <c r="P37" i="67" s="1"/>
  <c r="P36" i="67"/>
  <c r="I100" i="77"/>
  <c r="G12" i="77" s="1"/>
  <c r="L38" i="68"/>
  <c r="P38" i="68" s="1"/>
  <c r="P37" i="68"/>
  <c r="F55" i="75"/>
  <c r="F42" i="84" s="1"/>
  <c r="F38" i="84"/>
  <c r="Q47" i="66"/>
  <c r="L48" i="66"/>
  <c r="N33" i="84"/>
  <c r="P33" i="84" s="1"/>
  <c r="V33" i="84"/>
  <c r="P35" i="68"/>
  <c r="G127" i="77"/>
  <c r="I127" i="77" s="1"/>
  <c r="I114" i="77"/>
  <c r="Z20" i="65"/>
  <c r="U21" i="65"/>
  <c r="N43" i="79"/>
  <c r="P43" i="79" s="1"/>
  <c r="W28" i="69"/>
  <c r="W32" i="69"/>
  <c r="W29" i="69"/>
  <c r="Y49" i="66"/>
  <c r="T50" i="66"/>
  <c r="W31" i="69"/>
  <c r="U52" i="80"/>
  <c r="G24" i="70"/>
  <c r="S23" i="70" s="1"/>
  <c r="W57" i="80"/>
  <c r="Y57" i="80" s="1"/>
  <c r="U53" i="80"/>
  <c r="G25" i="70"/>
  <c r="W58" i="80"/>
  <c r="Y58" i="80" s="1"/>
  <c r="Z48" i="65"/>
  <c r="U49" i="65"/>
  <c r="V43" i="85"/>
  <c r="N43" i="85"/>
  <c r="P43" i="85" s="1"/>
  <c r="U63" i="70"/>
  <c r="O7" i="15"/>
  <c r="G20" i="15"/>
  <c r="U62" i="70"/>
  <c r="Y84" i="66"/>
  <c r="T85" i="66"/>
  <c r="Y85" i="66" s="1"/>
  <c r="Z77" i="65"/>
  <c r="U78" i="65"/>
  <c r="H45" i="16"/>
  <c r="G19" i="77" l="1"/>
  <c r="I119" i="93"/>
  <c r="I11" i="93" s="1"/>
  <c r="I12" i="93" s="1"/>
  <c r="I14" i="93" s="1"/>
  <c r="I16" i="93" s="1"/>
  <c r="J34" i="82"/>
  <c r="L34" i="82" s="1"/>
  <c r="J14" i="82"/>
  <c r="L14" i="82" s="1"/>
  <c r="J32" i="82"/>
  <c r="L32" i="82" s="1"/>
  <c r="F33" i="86"/>
  <c r="J33" i="86" s="1"/>
  <c r="L33" i="86" s="1"/>
  <c r="J33" i="82"/>
  <c r="L33" i="82" s="1"/>
  <c r="H52" i="89"/>
  <c r="J52" i="89" s="1"/>
  <c r="L52" i="89" s="1"/>
  <c r="H52" i="86"/>
  <c r="O59" i="87"/>
  <c r="H35" i="82"/>
  <c r="F35" i="86" s="1"/>
  <c r="J35" i="86" s="1"/>
  <c r="L35" i="86" s="1"/>
  <c r="G42" i="87"/>
  <c r="H40" i="82"/>
  <c r="F40" i="86" s="1"/>
  <c r="J40" i="86" s="1"/>
  <c r="L40" i="86" s="1"/>
  <c r="G47" i="87"/>
  <c r="H42" i="82"/>
  <c r="G49" i="87"/>
  <c r="H44" i="82"/>
  <c r="F44" i="86" s="1"/>
  <c r="J44" i="86" s="1"/>
  <c r="L44" i="86" s="1"/>
  <c r="G51" i="87"/>
  <c r="H45" i="82"/>
  <c r="F45" i="86" s="1"/>
  <c r="J45" i="86" s="1"/>
  <c r="L45" i="86" s="1"/>
  <c r="G52" i="87"/>
  <c r="O18" i="87"/>
  <c r="H17" i="86"/>
  <c r="H17" i="89"/>
  <c r="J17" i="89" s="1"/>
  <c r="L17" i="89" s="1"/>
  <c r="O60" i="87"/>
  <c r="H53" i="89"/>
  <c r="J53" i="89" s="1"/>
  <c r="L53" i="89" s="1"/>
  <c r="H53" i="86"/>
  <c r="H43" i="82"/>
  <c r="J43" i="82" s="1"/>
  <c r="L43" i="82" s="1"/>
  <c r="G50" i="87"/>
  <c r="W17" i="87"/>
  <c r="Y17" i="87" s="1"/>
  <c r="AA17" i="87" s="1"/>
  <c r="H27" i="89"/>
  <c r="J27" i="89" s="1"/>
  <c r="L27" i="89" s="1"/>
  <c r="H27" i="86"/>
  <c r="O31" i="87"/>
  <c r="W30" i="87"/>
  <c r="Y30" i="87" s="1"/>
  <c r="AA30" i="87" s="1"/>
  <c r="H50" i="89"/>
  <c r="J50" i="89" s="1"/>
  <c r="L50" i="89" s="1"/>
  <c r="H50" i="86"/>
  <c r="O57" i="87"/>
  <c r="H41" i="82"/>
  <c r="F41" i="86" s="1"/>
  <c r="J41" i="86" s="1"/>
  <c r="L41" i="86" s="1"/>
  <c r="G48" i="87"/>
  <c r="M28" i="87"/>
  <c r="Q28" i="87" s="1"/>
  <c r="S28" i="87" s="1"/>
  <c r="I28" i="87"/>
  <c r="K28" i="87" s="1"/>
  <c r="H36" i="82"/>
  <c r="F36" i="86" s="1"/>
  <c r="J36" i="86" s="1"/>
  <c r="L36" i="86" s="1"/>
  <c r="G43" i="87"/>
  <c r="F53" i="91"/>
  <c r="L53" i="90"/>
  <c r="N53" i="90" s="1"/>
  <c r="H49" i="89"/>
  <c r="J49" i="89" s="1"/>
  <c r="L49" i="89" s="1"/>
  <c r="H49" i="86"/>
  <c r="O56" i="87"/>
  <c r="O58" i="87"/>
  <c r="H51" i="89"/>
  <c r="J51" i="89" s="1"/>
  <c r="L51" i="89" s="1"/>
  <c r="H51" i="86"/>
  <c r="M41" i="87"/>
  <c r="Q41" i="87" s="1"/>
  <c r="S41" i="87" s="1"/>
  <c r="I41" i="87"/>
  <c r="K41" i="87" s="1"/>
  <c r="M15" i="87"/>
  <c r="Q15" i="87" s="1"/>
  <c r="S15" i="87" s="1"/>
  <c r="I15" i="87"/>
  <c r="K15" i="87" s="1"/>
  <c r="H25" i="82"/>
  <c r="F25" i="86" s="1"/>
  <c r="J25" i="86" s="1"/>
  <c r="L25" i="86" s="1"/>
  <c r="G29" i="87"/>
  <c r="I49" i="88"/>
  <c r="L49" i="88" s="1"/>
  <c r="N49" i="88" s="1"/>
  <c r="I48" i="91"/>
  <c r="L48" i="91" s="1"/>
  <c r="N48" i="91" s="1"/>
  <c r="P50" i="72"/>
  <c r="S50" i="72" s="1"/>
  <c r="T50" i="72" s="1"/>
  <c r="M39" i="87"/>
  <c r="Q39" i="87" s="1"/>
  <c r="S39" i="87" s="1"/>
  <c r="I39" i="87"/>
  <c r="K39" i="87" s="1"/>
  <c r="F52" i="91"/>
  <c r="L52" i="90"/>
  <c r="N52" i="90" s="1"/>
  <c r="H15" i="82"/>
  <c r="F15" i="86" s="1"/>
  <c r="J15" i="86" s="1"/>
  <c r="L15" i="86" s="1"/>
  <c r="G16" i="87"/>
  <c r="I47" i="91"/>
  <c r="L47" i="91" s="1"/>
  <c r="N47" i="91" s="1"/>
  <c r="P49" i="72"/>
  <c r="S49" i="72" s="1"/>
  <c r="T49" i="72" s="1"/>
  <c r="I48" i="88"/>
  <c r="L48" i="88" s="1"/>
  <c r="N48" i="88" s="1"/>
  <c r="I115" i="77"/>
  <c r="G13" i="77" s="1"/>
  <c r="M40" i="87"/>
  <c r="Q40" i="87" s="1"/>
  <c r="S40" i="87" s="1"/>
  <c r="I40" i="87"/>
  <c r="K40" i="87" s="1"/>
  <c r="J39" i="84"/>
  <c r="N39" i="84" s="1"/>
  <c r="P39" i="84" s="1"/>
  <c r="L56" i="75"/>
  <c r="M48" i="65"/>
  <c r="R47" i="65"/>
  <c r="L55" i="75"/>
  <c r="J38" i="84"/>
  <c r="N38" i="84" s="1"/>
  <c r="P38" i="84" s="1"/>
  <c r="Q48" i="66"/>
  <c r="L49" i="66"/>
  <c r="V34" i="84"/>
  <c r="V35" i="84" s="1"/>
  <c r="N34" i="84"/>
  <c r="P34" i="84" s="1"/>
  <c r="O31" i="69"/>
  <c r="O32" i="69"/>
  <c r="O28" i="69"/>
  <c r="O29" i="69"/>
  <c r="O30" i="69"/>
  <c r="J45" i="82"/>
  <c r="L45" i="82" s="1"/>
  <c r="V12" i="69"/>
  <c r="V11" i="69"/>
  <c r="V14" i="69"/>
  <c r="V13" i="69"/>
  <c r="V15" i="69"/>
  <c r="J44" i="82"/>
  <c r="L44" i="82" s="1"/>
  <c r="G6" i="70"/>
  <c r="L57" i="80"/>
  <c r="N57" i="80" s="1"/>
  <c r="N28" i="69"/>
  <c r="N29" i="69"/>
  <c r="N30" i="69"/>
  <c r="N31" i="69"/>
  <c r="N32" i="69"/>
  <c r="U11" i="69"/>
  <c r="U13" i="69"/>
  <c r="U12" i="69"/>
  <c r="U15" i="69"/>
  <c r="U14" i="69"/>
  <c r="Y21" i="66"/>
  <c r="T22" i="66"/>
  <c r="T13" i="69"/>
  <c r="T12" i="69"/>
  <c r="T15" i="69"/>
  <c r="T11" i="69"/>
  <c r="T14" i="69"/>
  <c r="U22" i="65"/>
  <c r="Z21" i="65"/>
  <c r="M28" i="69"/>
  <c r="M29" i="69"/>
  <c r="M32" i="69"/>
  <c r="M30" i="69"/>
  <c r="M31" i="69"/>
  <c r="G7" i="70"/>
  <c r="L58" i="80"/>
  <c r="N58" i="80" s="1"/>
  <c r="J15" i="82"/>
  <c r="L15" i="82" s="1"/>
  <c r="I128" i="77"/>
  <c r="G14" i="77" s="1"/>
  <c r="U57" i="80"/>
  <c r="Z49" i="65"/>
  <c r="O19" i="87" s="1"/>
  <c r="U50" i="65"/>
  <c r="S31" i="70"/>
  <c r="S30" i="70"/>
  <c r="S34" i="70"/>
  <c r="S32" i="70"/>
  <c r="S33" i="70"/>
  <c r="Y50" i="66"/>
  <c r="O32" i="87" s="1"/>
  <c r="T51" i="66"/>
  <c r="T23" i="70"/>
  <c r="O23" i="70"/>
  <c r="U58" i="80"/>
  <c r="U79" i="65"/>
  <c r="Z78" i="65"/>
  <c r="F11" i="26"/>
  <c r="F12" i="26"/>
  <c r="H36" i="16"/>
  <c r="G17" i="5"/>
  <c r="E17" i="5"/>
  <c r="C17" i="5"/>
  <c r="J25" i="82" l="1"/>
  <c r="L25" i="82" s="1"/>
  <c r="J35" i="82"/>
  <c r="L35" i="82" s="1"/>
  <c r="J40" i="82"/>
  <c r="L40" i="82" s="1"/>
  <c r="G15" i="77"/>
  <c r="G18" i="77" s="1"/>
  <c r="J36" i="82"/>
  <c r="L36" i="82" s="1"/>
  <c r="F43" i="86"/>
  <c r="J43" i="86" s="1"/>
  <c r="L43" i="86" s="1"/>
  <c r="M48" i="87"/>
  <c r="Q48" i="87" s="1"/>
  <c r="S48" i="87" s="1"/>
  <c r="I48" i="87"/>
  <c r="K48" i="87" s="1"/>
  <c r="M50" i="87"/>
  <c r="Q50" i="87" s="1"/>
  <c r="S50" i="87" s="1"/>
  <c r="I50" i="87"/>
  <c r="K50" i="87" s="1"/>
  <c r="M49" i="87"/>
  <c r="Q49" i="87" s="1"/>
  <c r="S49" i="87" s="1"/>
  <c r="I49" i="87"/>
  <c r="K49" i="87" s="1"/>
  <c r="F42" i="86"/>
  <c r="J42" i="86" s="1"/>
  <c r="L42" i="86" s="1"/>
  <c r="J42" i="82"/>
  <c r="L42" i="82" s="1"/>
  <c r="W19" i="87"/>
  <c r="Y19" i="87" s="1"/>
  <c r="AA19" i="87" s="1"/>
  <c r="W58" i="87"/>
  <c r="Y58" i="87" s="1"/>
  <c r="AA58" i="87" s="1"/>
  <c r="W57" i="87"/>
  <c r="Y57" i="87" s="1"/>
  <c r="AA57" i="87" s="1"/>
  <c r="M47" i="87"/>
  <c r="Q47" i="87" s="1"/>
  <c r="S47" i="87" s="1"/>
  <c r="I47" i="87"/>
  <c r="K47" i="87" s="1"/>
  <c r="W56" i="87"/>
  <c r="Y56" i="87" s="1"/>
  <c r="AA56" i="87" s="1"/>
  <c r="J42" i="84"/>
  <c r="N42" i="84" s="1"/>
  <c r="P42" i="84" s="1"/>
  <c r="I53" i="88"/>
  <c r="L53" i="88" s="1"/>
  <c r="N53" i="88" s="1"/>
  <c r="P54" i="72"/>
  <c r="S54" i="72" s="1"/>
  <c r="T54" i="72" s="1"/>
  <c r="I52" i="91"/>
  <c r="L52" i="91" s="1"/>
  <c r="N52" i="91" s="1"/>
  <c r="W60" i="87"/>
  <c r="Y60" i="87" s="1"/>
  <c r="AA60" i="87" s="1"/>
  <c r="M42" i="87"/>
  <c r="Q42" i="87" s="1"/>
  <c r="S42" i="87" s="1"/>
  <c r="I42" i="87"/>
  <c r="K42" i="87" s="1"/>
  <c r="H16" i="82"/>
  <c r="F16" i="86" s="1"/>
  <c r="J16" i="86" s="1"/>
  <c r="L16" i="86" s="1"/>
  <c r="G17" i="87"/>
  <c r="P29" i="69"/>
  <c r="M29" i="87"/>
  <c r="Q29" i="87" s="1"/>
  <c r="S29" i="87" s="1"/>
  <c r="I29" i="87"/>
  <c r="K29" i="87" s="1"/>
  <c r="W59" i="87"/>
  <c r="Y59" i="87" s="1"/>
  <c r="AA59" i="87" s="1"/>
  <c r="W31" i="87"/>
  <c r="Y31" i="87" s="1"/>
  <c r="AA31" i="87" s="1"/>
  <c r="W18" i="87"/>
  <c r="Y18" i="87" s="1"/>
  <c r="AA18" i="87" s="1"/>
  <c r="W32" i="87"/>
  <c r="Y32" i="87" s="1"/>
  <c r="AA32" i="87" s="1"/>
  <c r="J41" i="82"/>
  <c r="L41" i="82" s="1"/>
  <c r="M43" i="87"/>
  <c r="Q43" i="87" s="1"/>
  <c r="S43" i="87" s="1"/>
  <c r="I43" i="87"/>
  <c r="K43" i="87" s="1"/>
  <c r="M52" i="87"/>
  <c r="Q52" i="87" s="1"/>
  <c r="S52" i="87" s="1"/>
  <c r="I52" i="87"/>
  <c r="K52" i="87" s="1"/>
  <c r="J43" i="84"/>
  <c r="V43" i="84" s="1"/>
  <c r="P55" i="72"/>
  <c r="S55" i="72" s="1"/>
  <c r="T55" i="72" s="1"/>
  <c r="I54" i="88"/>
  <c r="L54" i="88" s="1"/>
  <c r="N54" i="88" s="1"/>
  <c r="I53" i="91"/>
  <c r="L53" i="91" s="1"/>
  <c r="N53" i="91" s="1"/>
  <c r="M16" i="87"/>
  <c r="Q16" i="87" s="1"/>
  <c r="S16" i="87" s="1"/>
  <c r="I16" i="87"/>
  <c r="K16" i="87" s="1"/>
  <c r="H26" i="82"/>
  <c r="F26" i="86" s="1"/>
  <c r="J26" i="86" s="1"/>
  <c r="L26" i="86" s="1"/>
  <c r="G30" i="87"/>
  <c r="P32" i="69"/>
  <c r="M51" i="87"/>
  <c r="Q51" i="87" s="1"/>
  <c r="S51" i="87" s="1"/>
  <c r="I51" i="87"/>
  <c r="K51" i="87" s="1"/>
  <c r="P30" i="69"/>
  <c r="R48" i="65"/>
  <c r="M49" i="65"/>
  <c r="P28" i="69"/>
  <c r="S5" i="70"/>
  <c r="D24" i="70"/>
  <c r="M23" i="70" s="1"/>
  <c r="W14" i="69"/>
  <c r="Z22" i="65"/>
  <c r="U23" i="65"/>
  <c r="W11" i="69"/>
  <c r="J63" i="84"/>
  <c r="L63" i="84" s="1"/>
  <c r="N63" i="84" s="1"/>
  <c r="W35" i="84"/>
  <c r="X35" i="84" s="1"/>
  <c r="W15" i="69"/>
  <c r="L50" i="66"/>
  <c r="Q49" i="66"/>
  <c r="W12" i="69"/>
  <c r="T5" i="70"/>
  <c r="D25" i="70"/>
  <c r="N23" i="70" s="1"/>
  <c r="W13" i="69"/>
  <c r="F4" i="78"/>
  <c r="F8" i="78" s="1"/>
  <c r="F10" i="78" s="1"/>
  <c r="O7" i="77"/>
  <c r="O9" i="77"/>
  <c r="O11" i="77" s="1"/>
  <c r="G20" i="77"/>
  <c r="P31" i="69"/>
  <c r="Y22" i="66"/>
  <c r="T23" i="66"/>
  <c r="T33" i="70"/>
  <c r="U33" i="70" s="1"/>
  <c r="T32" i="70"/>
  <c r="U32" i="70" s="1"/>
  <c r="T31" i="70"/>
  <c r="U31" i="70" s="1"/>
  <c r="T30" i="70"/>
  <c r="U30" i="70" s="1"/>
  <c r="T34" i="70"/>
  <c r="U34" i="70" s="1"/>
  <c r="U51" i="65"/>
  <c r="Z51" i="65" s="1"/>
  <c r="O21" i="87" s="1"/>
  <c r="Z50" i="65"/>
  <c r="O20" i="87" s="1"/>
  <c r="Y51" i="66"/>
  <c r="O33" i="87" s="1"/>
  <c r="T52" i="66"/>
  <c r="Y52" i="66" s="1"/>
  <c r="O34" i="87" s="1"/>
  <c r="Z79" i="65"/>
  <c r="U80" i="65"/>
  <c r="Z80" i="65" s="1"/>
  <c r="I19" i="5"/>
  <c r="I17" i="5"/>
  <c r="Q30" i="16"/>
  <c r="L27" i="26"/>
  <c r="L25" i="26"/>
  <c r="K42" i="26"/>
  <c r="K40" i="26"/>
  <c r="K36" i="26"/>
  <c r="K35" i="26"/>
  <c r="K34" i="26"/>
  <c r="K33" i="26"/>
  <c r="K32" i="26"/>
  <c r="L32" i="26" s="1"/>
  <c r="K31" i="26"/>
  <c r="K30" i="26"/>
  <c r="K16" i="26"/>
  <c r="K14" i="26"/>
  <c r="K17" i="26"/>
  <c r="K15" i="26"/>
  <c r="H53" i="26"/>
  <c r="K53" i="26" s="1"/>
  <c r="H49" i="26"/>
  <c r="K49" i="26" s="1"/>
  <c r="H48" i="26"/>
  <c r="K48" i="26" s="1"/>
  <c r="H30" i="26"/>
  <c r="H24" i="26"/>
  <c r="E18" i="26"/>
  <c r="J16" i="82" l="1"/>
  <c r="L16" i="82" s="1"/>
  <c r="J26" i="82"/>
  <c r="L26" i="82" s="1"/>
  <c r="W34" i="87"/>
  <c r="Y34" i="87" s="1"/>
  <c r="AA34" i="87" s="1"/>
  <c r="H17" i="82"/>
  <c r="F17" i="86" s="1"/>
  <c r="J17" i="86" s="1"/>
  <c r="L17" i="86" s="1"/>
  <c r="G18" i="87"/>
  <c r="H51" i="82"/>
  <c r="F51" i="86" s="1"/>
  <c r="J51" i="86" s="1"/>
  <c r="L51" i="86" s="1"/>
  <c r="G58" i="87"/>
  <c r="N43" i="84"/>
  <c r="P43" i="84" s="1"/>
  <c r="H49" i="82"/>
  <c r="F49" i="86" s="1"/>
  <c r="J49" i="86" s="1"/>
  <c r="L49" i="86" s="1"/>
  <c r="G56" i="87"/>
  <c r="W21" i="87"/>
  <c r="Y21" i="87" s="1"/>
  <c r="AA21" i="87" s="1"/>
  <c r="O68" i="87"/>
  <c r="H61" i="89"/>
  <c r="J61" i="89" s="1"/>
  <c r="L61" i="89" s="1"/>
  <c r="H61" i="86"/>
  <c r="H52" i="82"/>
  <c r="F52" i="86" s="1"/>
  <c r="J52" i="86" s="1"/>
  <c r="L52" i="86" s="1"/>
  <c r="G59" i="87"/>
  <c r="M30" i="87"/>
  <c r="Q30" i="87" s="1"/>
  <c r="S30" i="87" s="1"/>
  <c r="I30" i="87"/>
  <c r="K30" i="87" s="1"/>
  <c r="M17" i="87"/>
  <c r="Q17" i="87" s="1"/>
  <c r="S17" i="87" s="1"/>
  <c r="I17" i="87"/>
  <c r="K17" i="87" s="1"/>
  <c r="O67" i="87"/>
  <c r="H60" i="89"/>
  <c r="J60" i="89" s="1"/>
  <c r="L60" i="89" s="1"/>
  <c r="H60" i="86"/>
  <c r="W20" i="87"/>
  <c r="Y20" i="87" s="1"/>
  <c r="AA20" i="87" s="1"/>
  <c r="W33" i="87"/>
  <c r="Y33" i="87" s="1"/>
  <c r="AA33" i="87" s="1"/>
  <c r="O64" i="87"/>
  <c r="H57" i="89"/>
  <c r="J57" i="89" s="1"/>
  <c r="L57" i="89" s="1"/>
  <c r="H57" i="86"/>
  <c r="O65" i="87"/>
  <c r="H58" i="89"/>
  <c r="J58" i="89" s="1"/>
  <c r="L58" i="89" s="1"/>
  <c r="H58" i="86"/>
  <c r="H59" i="89"/>
  <c r="J59" i="89" s="1"/>
  <c r="L59" i="89" s="1"/>
  <c r="H59" i="86"/>
  <c r="O66" i="87"/>
  <c r="H50" i="82"/>
  <c r="F50" i="86" s="1"/>
  <c r="J50" i="86" s="1"/>
  <c r="L50" i="86" s="1"/>
  <c r="G57" i="87"/>
  <c r="H27" i="82"/>
  <c r="F27" i="86" s="1"/>
  <c r="J27" i="86" s="1"/>
  <c r="L27" i="86" s="1"/>
  <c r="G31" i="87"/>
  <c r="H53" i="82"/>
  <c r="F53" i="86" s="1"/>
  <c r="J53" i="86" s="1"/>
  <c r="L53" i="86" s="1"/>
  <c r="G60" i="87"/>
  <c r="N31" i="70"/>
  <c r="N32" i="70"/>
  <c r="N33" i="70"/>
  <c r="N34" i="70"/>
  <c r="N30" i="70"/>
  <c r="J52" i="82"/>
  <c r="L52" i="82" s="1"/>
  <c r="T24" i="66"/>
  <c r="Y23" i="66"/>
  <c r="G32" i="87" s="1"/>
  <c r="L51" i="66"/>
  <c r="Q50" i="66"/>
  <c r="M33" i="70"/>
  <c r="M32" i="70"/>
  <c r="M34" i="70"/>
  <c r="M30" i="70"/>
  <c r="M31" i="70"/>
  <c r="S12" i="70"/>
  <c r="S13" i="70"/>
  <c r="S14" i="70"/>
  <c r="S16" i="70"/>
  <c r="S15" i="70"/>
  <c r="T14" i="70"/>
  <c r="T12" i="70"/>
  <c r="T13" i="70"/>
  <c r="T16" i="70"/>
  <c r="T15" i="70"/>
  <c r="Z23" i="65"/>
  <c r="G19" i="87" s="1"/>
  <c r="U24" i="65"/>
  <c r="R49" i="65"/>
  <c r="M50" i="65"/>
  <c r="J17" i="82"/>
  <c r="L17" i="82" s="1"/>
  <c r="L66" i="34"/>
  <c r="K39" i="26"/>
  <c r="L34" i="26"/>
  <c r="L33" i="26"/>
  <c r="L35" i="26"/>
  <c r="L24" i="26"/>
  <c r="L36" i="26"/>
  <c r="L37" i="26"/>
  <c r="L30" i="26"/>
  <c r="K51" i="26"/>
  <c r="K43" i="26"/>
  <c r="K47" i="26" s="1"/>
  <c r="K50" i="26" s="1"/>
  <c r="E39" i="26"/>
  <c r="E43" i="26" s="1"/>
  <c r="E44" i="26" s="1"/>
  <c r="J53" i="82" l="1"/>
  <c r="L53" i="82" s="1"/>
  <c r="J51" i="82"/>
  <c r="L51" i="82" s="1"/>
  <c r="O31" i="70"/>
  <c r="J49" i="82"/>
  <c r="L49" i="82" s="1"/>
  <c r="J50" i="82"/>
  <c r="L50" i="82" s="1"/>
  <c r="O32" i="70"/>
  <c r="O30" i="70"/>
  <c r="J27" i="82"/>
  <c r="L27" i="82" s="1"/>
  <c r="W68" i="87"/>
  <c r="Y68" i="87" s="1"/>
  <c r="AA68" i="87" s="1"/>
  <c r="W67" i="87"/>
  <c r="Y67" i="87" s="1"/>
  <c r="AA67" i="87" s="1"/>
  <c r="M56" i="87"/>
  <c r="Q56" i="87" s="1"/>
  <c r="S56" i="87" s="1"/>
  <c r="I56" i="87"/>
  <c r="K56" i="87" s="1"/>
  <c r="W65" i="87"/>
  <c r="Y65" i="87" s="1"/>
  <c r="AA65" i="87" s="1"/>
  <c r="M60" i="87"/>
  <c r="Q60" i="87" s="1"/>
  <c r="S60" i="87" s="1"/>
  <c r="I60" i="87"/>
  <c r="K60" i="87" s="1"/>
  <c r="M58" i="87"/>
  <c r="Q58" i="87" s="1"/>
  <c r="S58" i="87" s="1"/>
  <c r="I58" i="87"/>
  <c r="K58" i="87" s="1"/>
  <c r="O34" i="70"/>
  <c r="M32" i="87"/>
  <c r="Q32" i="87" s="1"/>
  <c r="S32" i="87" s="1"/>
  <c r="I32" i="87"/>
  <c r="K32" i="87" s="1"/>
  <c r="M31" i="87"/>
  <c r="Q31" i="87" s="1"/>
  <c r="S31" i="87" s="1"/>
  <c r="I31" i="87"/>
  <c r="K31" i="87" s="1"/>
  <c r="W64" i="87"/>
  <c r="Y64" i="87" s="1"/>
  <c r="AA64" i="87" s="1"/>
  <c r="M59" i="87"/>
  <c r="Q59" i="87" s="1"/>
  <c r="S59" i="87" s="1"/>
  <c r="I59" i="87"/>
  <c r="K59" i="87" s="1"/>
  <c r="M18" i="87"/>
  <c r="Q18" i="87" s="1"/>
  <c r="S18" i="87" s="1"/>
  <c r="I18" i="87"/>
  <c r="K18" i="87" s="1"/>
  <c r="W66" i="87"/>
  <c r="Y66" i="87" s="1"/>
  <c r="AA66" i="87" s="1"/>
  <c r="M57" i="87"/>
  <c r="Q57" i="87" s="1"/>
  <c r="S57" i="87" s="1"/>
  <c r="I57" i="87"/>
  <c r="K57" i="87" s="1"/>
  <c r="M19" i="87"/>
  <c r="Q19" i="87" s="1"/>
  <c r="S19" i="87" s="1"/>
  <c r="I19" i="87"/>
  <c r="K19" i="87" s="1"/>
  <c r="O33" i="70"/>
  <c r="T25" i="66"/>
  <c r="Y25" i="66" s="1"/>
  <c r="G34" i="87" s="1"/>
  <c r="Y24" i="66"/>
  <c r="G33" i="87" s="1"/>
  <c r="U15" i="70"/>
  <c r="R50" i="65"/>
  <c r="M51" i="65"/>
  <c r="R51" i="65" s="1"/>
  <c r="U16" i="70"/>
  <c r="U14" i="70"/>
  <c r="Z24" i="65"/>
  <c r="G20" i="87" s="1"/>
  <c r="U25" i="65"/>
  <c r="Z25" i="65" s="1"/>
  <c r="G21" i="87" s="1"/>
  <c r="U13" i="70"/>
  <c r="L52" i="66"/>
  <c r="Q52" i="66" s="1"/>
  <c r="Q51" i="66"/>
  <c r="U12" i="70"/>
  <c r="K56" i="26"/>
  <c r="Q42" i="16"/>
  <c r="M33" i="87" l="1"/>
  <c r="Q33" i="87" s="1"/>
  <c r="S33" i="87" s="1"/>
  <c r="I33" i="87"/>
  <c r="K33" i="87" s="1"/>
  <c r="M34" i="87"/>
  <c r="Q34" i="87" s="1"/>
  <c r="S34" i="87" s="1"/>
  <c r="I34" i="87"/>
  <c r="K34" i="87" s="1"/>
  <c r="H57" i="82"/>
  <c r="F57" i="86" s="1"/>
  <c r="J57" i="86" s="1"/>
  <c r="L57" i="86" s="1"/>
  <c r="G64" i="87"/>
  <c r="H60" i="82"/>
  <c r="F60" i="86" s="1"/>
  <c r="J60" i="86" s="1"/>
  <c r="L60" i="86" s="1"/>
  <c r="G67" i="87"/>
  <c r="M21" i="87"/>
  <c r="Q21" i="87" s="1"/>
  <c r="S21" i="87" s="1"/>
  <c r="I21" i="87"/>
  <c r="K21" i="87" s="1"/>
  <c r="H61" i="82"/>
  <c r="F61" i="86" s="1"/>
  <c r="J61" i="86" s="1"/>
  <c r="L61" i="86" s="1"/>
  <c r="G68" i="87"/>
  <c r="M20" i="87"/>
  <c r="Q20" i="87" s="1"/>
  <c r="S20" i="87" s="1"/>
  <c r="I20" i="87"/>
  <c r="K20" i="87" s="1"/>
  <c r="H58" i="82"/>
  <c r="F58" i="86" s="1"/>
  <c r="J58" i="86" s="1"/>
  <c r="L58" i="86" s="1"/>
  <c r="G65" i="87"/>
  <c r="H59" i="82"/>
  <c r="F59" i="86" s="1"/>
  <c r="J59" i="86" s="1"/>
  <c r="L59" i="86" s="1"/>
  <c r="G66" i="87"/>
  <c r="Q36" i="16"/>
  <c r="V8" i="16"/>
  <c r="V7" i="16"/>
  <c r="J58" i="82" l="1"/>
  <c r="L58" i="82" s="1"/>
  <c r="J59" i="82"/>
  <c r="L59" i="82" s="1"/>
  <c r="J60" i="82"/>
  <c r="L60" i="82" s="1"/>
  <c r="J57" i="82"/>
  <c r="L57" i="82" s="1"/>
  <c r="M64" i="87"/>
  <c r="Q64" i="87" s="1"/>
  <c r="S64" i="87" s="1"/>
  <c r="I64" i="87"/>
  <c r="K64" i="87" s="1"/>
  <c r="J61" i="82"/>
  <c r="L61" i="82" s="1"/>
  <c r="M68" i="87"/>
  <c r="Q68" i="87" s="1"/>
  <c r="S68" i="87" s="1"/>
  <c r="I68" i="87"/>
  <c r="K68" i="87" s="1"/>
  <c r="M67" i="87"/>
  <c r="Q67" i="87" s="1"/>
  <c r="S67" i="87" s="1"/>
  <c r="I67" i="87"/>
  <c r="K67" i="87" s="1"/>
  <c r="M66" i="87"/>
  <c r="Q66" i="87" s="1"/>
  <c r="S66" i="87" s="1"/>
  <c r="I66" i="87"/>
  <c r="K66" i="87" s="1"/>
  <c r="M65" i="87"/>
  <c r="Q65" i="87" s="1"/>
  <c r="S65" i="87" s="1"/>
  <c r="I65" i="87"/>
  <c r="K65" i="87" s="1"/>
  <c r="V9" i="16"/>
  <c r="F17" i="26" l="1"/>
  <c r="H17" i="26" s="1"/>
  <c r="H51" i="26" s="1"/>
  <c r="F40" i="26" l="1"/>
  <c r="H41" i="26" s="1"/>
  <c r="E35" i="16"/>
  <c r="E33" i="16"/>
  <c r="F33" i="16" s="1"/>
  <c r="L42" i="34" l="1"/>
  <c r="L68" i="34" s="1"/>
  <c r="E32" i="16"/>
  <c r="F32" i="16" s="1"/>
  <c r="F35" i="16"/>
  <c r="E34" i="16"/>
  <c r="F34" i="16" s="1"/>
  <c r="F36" i="16" l="1"/>
  <c r="F37" i="16" s="1"/>
  <c r="D40" i="16" s="1"/>
  <c r="D41" i="16" l="1"/>
  <c r="D43" i="16" l="1"/>
  <c r="H37" i="16"/>
  <c r="H38" i="16" s="1"/>
  <c r="V13" i="16"/>
  <c r="F25" i="26" l="1"/>
  <c r="F31" i="26"/>
  <c r="V12" i="16"/>
  <c r="H31" i="26" l="1"/>
  <c r="F23" i="26"/>
  <c r="V14" i="16"/>
  <c r="W35" i="16"/>
  <c r="W34" i="16"/>
  <c r="U33" i="16"/>
  <c r="U42" i="16" s="1"/>
  <c r="L31" i="26" l="1"/>
  <c r="W33" i="16"/>
  <c r="W36" i="16" s="1"/>
  <c r="W46" i="16" s="1"/>
  <c r="U45" i="16"/>
  <c r="W42" i="16"/>
  <c r="W45" i="16" s="1"/>
  <c r="Q13" i="16"/>
  <c r="Q12" i="16"/>
  <c r="Q8" i="16"/>
  <c r="Q9" i="16"/>
  <c r="Q10" i="16"/>
  <c r="H41" i="16" s="1"/>
  <c r="U36" i="16"/>
  <c r="W47" i="16" l="1"/>
  <c r="W38" i="16"/>
  <c r="K13" i="26"/>
  <c r="F28" i="26" l="1"/>
  <c r="G25" i="16" l="1"/>
  <c r="F10" i="26" l="1"/>
  <c r="F9" i="26" l="1"/>
  <c r="H12" i="26" s="1"/>
  <c r="H18" i="26" s="1"/>
  <c r="H57" i="26"/>
  <c r="H34" i="16"/>
  <c r="K18" i="26" l="1"/>
  <c r="L18" i="26" s="1"/>
  <c r="K57" i="26"/>
  <c r="K58" i="26" s="1"/>
  <c r="Q7" i="16" l="1"/>
  <c r="Q22" i="16" l="1"/>
  <c r="H40" i="16"/>
  <c r="H42" i="16" s="1"/>
  <c r="H44" i="16" l="1"/>
  <c r="H46" i="16" s="1"/>
  <c r="L25" i="34" s="1"/>
  <c r="Q39" i="16"/>
  <c r="Q41" i="16" s="1"/>
  <c r="Q43" i="16" s="1"/>
  <c r="Q29" i="16"/>
  <c r="Q33" i="16" s="1"/>
  <c r="Q35" i="16" s="1"/>
  <c r="Q37" i="16" l="1"/>
  <c r="L43" i="34" s="1"/>
  <c r="F26" i="26" l="1"/>
  <c r="H26" i="26" s="1"/>
  <c r="L26" i="26" s="1"/>
  <c r="F42" i="26"/>
  <c r="H42" i="26" s="1"/>
  <c r="L42" i="26" s="1"/>
  <c r="Q31" i="16"/>
  <c r="L22" i="34" s="1"/>
  <c r="F22" i="26" l="1"/>
  <c r="H23" i="26" s="1"/>
  <c r="D10" i="16" l="1"/>
  <c r="E19" i="16" l="1"/>
  <c r="E21" i="16" s="1"/>
  <c r="C20" i="16"/>
  <c r="E26" i="16" l="1"/>
  <c r="E27" i="16" s="1"/>
  <c r="G26" i="16"/>
  <c r="G27" i="16" s="1"/>
  <c r="F26" i="16"/>
  <c r="F27" i="16" s="1"/>
  <c r="L41" i="34" l="1"/>
  <c r="L44" i="34" s="1"/>
  <c r="L40" i="26"/>
  <c r="H41" i="34" l="1"/>
  <c r="H44" i="34" s="1"/>
  <c r="H45" i="34" s="1"/>
  <c r="F27" i="26"/>
  <c r="F37" i="26"/>
  <c r="H38" i="26" s="1"/>
  <c r="F29" i="26"/>
  <c r="H29" i="26" s="1"/>
  <c r="L48" i="34"/>
  <c r="L45" i="34"/>
  <c r="L29" i="26" l="1"/>
  <c r="H39" i="26"/>
  <c r="L50" i="34"/>
  <c r="L52" i="34" s="1"/>
  <c r="L58" i="34" s="1"/>
  <c r="L65" i="34"/>
  <c r="L39" i="26" l="1"/>
  <c r="H43" i="26"/>
  <c r="L64" i="34"/>
  <c r="L67" i="34" s="1"/>
  <c r="L69" i="34" s="1"/>
  <c r="H44" i="26" l="1"/>
  <c r="H47" i="26"/>
  <c r="H50" i="26" s="1"/>
  <c r="H56" i="26" s="1"/>
  <c r="H58" i="26" s="1"/>
  <c r="L43" i="26"/>
  <c r="L60" i="34"/>
  <c r="L61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AlanV</author>
    <author>Alan Vilines</author>
  </authors>
  <commentList>
    <comment ref="Q33" authorId="0" shapeId="0" xr:uid="{AA0AC8BA-F766-468F-A505-DFDF89079FD3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Includes Commissioners</t>
        </r>
      </text>
    </comment>
    <comment ref="Q40" authorId="1" shapeId="0" xr:uid="{1E910838-C337-43DD-BFCF-0FBE4A63D67C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new rate effective 7/1/22
 per KPPA web site</t>
        </r>
      </text>
    </comment>
  </commentList>
</comments>
</file>

<file path=xl/sharedStrings.xml><?xml version="1.0" encoding="utf-8"?>
<sst xmlns="http://schemas.openxmlformats.org/spreadsheetml/2006/main" count="5371" uniqueCount="744">
  <si>
    <t>TOTALS</t>
  </si>
  <si>
    <t>Life</t>
  </si>
  <si>
    <t>Operating Revenues</t>
  </si>
  <si>
    <t>Total Operating Revenues</t>
  </si>
  <si>
    <t>Operating Expenses</t>
  </si>
  <si>
    <t>Total Operating Expenses</t>
  </si>
  <si>
    <t>Pro Forma Operating Expenses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</si>
  <si>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</si>
  <si>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</si>
  <si>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</si>
  <si>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</si>
  <si>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</si>
  <si>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</si>
  <si>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</si>
  <si>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</si>
  <si>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</si>
  <si>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</si>
  <si>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Contractual Services</t>
  </si>
  <si>
    <t>Miscellaneous Expenses</t>
  </si>
  <si>
    <t>Additional Working Capital</t>
  </si>
  <si>
    <t>Adjustments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</si>
  <si>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</si>
  <si>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</si>
  <si>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</si>
  <si>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</si>
  <si>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</si>
  <si>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Forfeited Discounts</t>
  </si>
  <si>
    <t>Misc. Service Revenues</t>
  </si>
  <si>
    <t>Other Water Revenues:</t>
  </si>
  <si>
    <t>DEBT SERVICE SCHDULE</t>
  </si>
  <si>
    <t>Principal</t>
  </si>
  <si>
    <t>Interest</t>
  </si>
  <si>
    <t>Totals</t>
  </si>
  <si>
    <t>REVENUE REQUIREMENTS</t>
  </si>
  <si>
    <t>Ref.</t>
  </si>
  <si>
    <t>Avg. Annual Principal and Interest Payments</t>
  </si>
  <si>
    <t>Interest Income</t>
  </si>
  <si>
    <t>Water Loss Adjustment: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</si>
  <si>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</si>
  <si>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</si>
  <si>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</si>
  <si>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</si>
  <si>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</si>
  <si>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</si>
  <si>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</si>
  <si>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</si>
  <si>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</si>
  <si>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</si>
  <si>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</si>
  <si>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</si>
  <si>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>Materials and Supplies</t>
  </si>
  <si>
    <t>First</t>
  </si>
  <si>
    <t>Next</t>
  </si>
  <si>
    <t>CURRENT AND PROPOSED RATES</t>
  </si>
  <si>
    <t>Pro Forma</t>
  </si>
  <si>
    <t>Test Year</t>
  </si>
  <si>
    <t>C.Y.</t>
  </si>
  <si>
    <t>Total</t>
  </si>
  <si>
    <t xml:space="preserve">   Plus:</t>
  </si>
  <si>
    <t xml:space="preserve">   Less:</t>
  </si>
  <si>
    <t>A</t>
  </si>
  <si>
    <t>B</t>
  </si>
  <si>
    <t>C</t>
  </si>
  <si>
    <t>E</t>
  </si>
  <si>
    <t>F</t>
  </si>
  <si>
    <t>G</t>
  </si>
  <si>
    <t>I</t>
  </si>
  <si>
    <t>J</t>
  </si>
  <si>
    <t>K</t>
  </si>
  <si>
    <t>Revenue Required From Water Sales</t>
  </si>
  <si>
    <t>Dental</t>
  </si>
  <si>
    <t>Dist. Contrib</t>
  </si>
  <si>
    <t>BLS avg.</t>
  </si>
  <si>
    <t>Premium</t>
  </si>
  <si>
    <t>Adj'mt.</t>
  </si>
  <si>
    <t>Allowable annual prem.</t>
  </si>
  <si>
    <t>Less prem. pd. in test yr.</t>
  </si>
  <si>
    <t>Health Ins. Adjustment</t>
  </si>
  <si>
    <t xml:space="preserve">Pro Forma </t>
  </si>
  <si>
    <t>Wage Rate</t>
  </si>
  <si>
    <t>Wages</t>
  </si>
  <si>
    <t>O. T. Wages</t>
  </si>
  <si>
    <t>Employee</t>
  </si>
  <si>
    <t>Pro Forma Salaries &amp; Wages Expense</t>
  </si>
  <si>
    <t xml:space="preserve"> </t>
  </si>
  <si>
    <t>Times: 7.65 Percent FICA Rate</t>
  </si>
  <si>
    <t>Pro Forma Payroll Taxes</t>
  </si>
  <si>
    <t>Less: Test Year Payroll Taxes</t>
  </si>
  <si>
    <t>Payroll Tax Adjustment</t>
  </si>
  <si>
    <t>Total Pro Forma Pension Contribution</t>
  </si>
  <si>
    <t>Less: Test Year Pension Contribution</t>
  </si>
  <si>
    <t>Pension &amp; Benefits Adjustments</t>
  </si>
  <si>
    <t>Times: Percent Pension Contribution</t>
  </si>
  <si>
    <t>Wages applicable to CERS payments</t>
  </si>
  <si>
    <t>Salaries &amp; Wages and Associated Adjustments</t>
  </si>
  <si>
    <t>Less: Test Year Salaries &amp; Wages Exp</t>
  </si>
  <si>
    <t>Pro Forma Salaries &amp; Wages Adj'mt</t>
  </si>
  <si>
    <t>Reg. Wages</t>
  </si>
  <si>
    <t>D</t>
  </si>
  <si>
    <t>Table C</t>
  </si>
  <si>
    <t>Bad Debt</t>
  </si>
  <si>
    <t>Retirement</t>
  </si>
  <si>
    <t>Total Pen &amp; Benefits</t>
  </si>
  <si>
    <t>GASB Liability Adjustments</t>
  </si>
  <si>
    <t>Purchased Water Adjustment for PWA</t>
  </si>
  <si>
    <t>Total Retail Metered Sales</t>
  </si>
  <si>
    <t>Addition to Depreciation Expense:</t>
  </si>
  <si>
    <t>Insurance</t>
  </si>
  <si>
    <t>Sales for Resale</t>
  </si>
  <si>
    <t>Other Water Revenues</t>
  </si>
  <si>
    <t>Advertising</t>
  </si>
  <si>
    <t>Nonutility Income</t>
  </si>
  <si>
    <t>PROPOSED RATE SCHEDULES</t>
  </si>
  <si>
    <t xml:space="preserve"> Percentage Rate Increase</t>
  </si>
  <si>
    <t>Over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</si>
  <si>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</si>
  <si>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</si>
  <si>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</si>
  <si>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</si>
  <si>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</si>
  <si>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</si>
  <si>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</si>
  <si>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</si>
  <si>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</si>
  <si>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</si>
  <si>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</si>
  <si>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Oct</t>
  </si>
  <si>
    <t>Page 53</t>
  </si>
  <si>
    <t>Annual Report</t>
  </si>
  <si>
    <t>Difference</t>
  </si>
  <si>
    <t>Gals x 1000</t>
  </si>
  <si>
    <t>Rate</t>
  </si>
  <si>
    <t>Cost</t>
  </si>
  <si>
    <t>Test Year WP expense</t>
  </si>
  <si>
    <t>Water Purchased Adjustment</t>
  </si>
  <si>
    <t>labor adjustment</t>
  </si>
  <si>
    <t>materials adjustment</t>
  </si>
  <si>
    <t>Income from Utility Plant Leases</t>
  </si>
  <si>
    <t>Gains for Disposition of Property</t>
  </si>
  <si>
    <t>L</t>
  </si>
  <si>
    <t>Insurance Adjustment</t>
  </si>
  <si>
    <t>Empl. rate</t>
  </si>
  <si>
    <t>Health</t>
  </si>
  <si>
    <t>Vision</t>
  </si>
  <si>
    <t>Empl/Spouse</t>
  </si>
  <si>
    <t>Monthly</t>
  </si>
  <si>
    <t>Contrib. x No. in Tier</t>
  </si>
  <si>
    <t>Total Allowable monthly prem.</t>
  </si>
  <si>
    <t>Table A</t>
  </si>
  <si>
    <t>DEPRECIATION EXPENSE ADJUSTMENTS</t>
  </si>
  <si>
    <t>Report</t>
  </si>
  <si>
    <t>H</t>
  </si>
  <si>
    <t>New Meter Installations:</t>
  </si>
  <si>
    <t>3/4" meters</t>
  </si>
  <si>
    <t>1" meters</t>
  </si>
  <si>
    <t>No.</t>
  </si>
  <si>
    <t>Charge</t>
  </si>
  <si>
    <t>Addition to depr. Table</t>
  </si>
  <si>
    <t>Pro Forma Taxable Salaries and Wages</t>
  </si>
  <si>
    <t>CURRENT RATE SCHEDULE *</t>
  </si>
  <si>
    <t>M</t>
  </si>
  <si>
    <t>Employee Benefits (from Auditor):</t>
  </si>
  <si>
    <t>OPEB</t>
  </si>
  <si>
    <t>Emp. Heath, Dental, etc</t>
  </si>
  <si>
    <t>GASB 68</t>
  </si>
  <si>
    <t>Reported Ins.</t>
  </si>
  <si>
    <t>Actual Dist. Pmts.</t>
  </si>
  <si>
    <t>CERS expense</t>
  </si>
  <si>
    <t>N</t>
  </si>
  <si>
    <t>Surplus Revenue With Required Adjustments</t>
  </si>
  <si>
    <t>STAFF REPORT</t>
  </si>
  <si>
    <t>New empl. Not hired</t>
  </si>
  <si>
    <t>Increased Tap Fees</t>
  </si>
  <si>
    <t>&lt;==== ???</t>
  </si>
  <si>
    <t>deducted engineering</t>
  </si>
  <si>
    <t>Thomas</t>
  </si>
  <si>
    <t>Pay</t>
  </si>
  <si>
    <t>Type</t>
  </si>
  <si>
    <t>Hourly</t>
  </si>
  <si>
    <t>Reg. Hours</t>
  </si>
  <si>
    <t>5 Year Avg</t>
  </si>
  <si>
    <t>Annual</t>
  </si>
  <si>
    <t>CERS Employer Contribution Rate 07/01/2023</t>
  </si>
  <si>
    <t>Allowable CERS Employer Contribution</t>
  </si>
  <si>
    <t>.</t>
  </si>
  <si>
    <t>Test-Period CERS Contribution</t>
  </si>
  <si>
    <t>CERS Adjustment</t>
  </si>
  <si>
    <t>Bills</t>
  </si>
  <si>
    <t>Gallons</t>
  </si>
  <si>
    <t xml:space="preserve">  adjustment excess water cost</t>
  </si>
  <si>
    <t>Costs Subject to Water Loss Adjustment</t>
  </si>
  <si>
    <t xml:space="preserve">  adjustment percentage</t>
  </si>
  <si>
    <t>Purchased</t>
  </si>
  <si>
    <t>Water</t>
  </si>
  <si>
    <t>Power</t>
  </si>
  <si>
    <t>Excess Water Cost</t>
  </si>
  <si>
    <t>Divide by:</t>
  </si>
  <si>
    <t>Operating Ratio</t>
  </si>
  <si>
    <t>Subtotal</t>
  </si>
  <si>
    <t>Add:  Average Annual Interest Expense</t>
  </si>
  <si>
    <t>Less:</t>
  </si>
  <si>
    <t>Revenue Required from Rates</t>
  </si>
  <si>
    <t>Normalized Revenues from Water Sales</t>
  </si>
  <si>
    <t>Percentage Increase</t>
  </si>
  <si>
    <t>Required Revenue Increase</t>
  </si>
  <si>
    <t>Monthly UPM Software Fee</t>
  </si>
  <si>
    <t>Normalizwe PWA (Case No. 2022-00242)</t>
  </si>
  <si>
    <t>Sandra Morton</t>
  </si>
  <si>
    <t>Average Debt Service</t>
  </si>
  <si>
    <t>Add:</t>
  </si>
  <si>
    <t>Non Cash Items:  Depreciation Exp.</t>
  </si>
  <si>
    <t>Working Capital</t>
  </si>
  <si>
    <t>BA - Test Year Rates</t>
  </si>
  <si>
    <t>BA - PWA Rates Case No. 2022-00242</t>
  </si>
  <si>
    <t>Normalizwe PWA (Case No. 2023-00243)</t>
  </si>
  <si>
    <t>BA - PWA Rates Case No. 2023-00243</t>
  </si>
  <si>
    <t>BA - 0.023 Rates Case No. 2023-00098</t>
  </si>
  <si>
    <t>Payroll Tax</t>
  </si>
  <si>
    <t>O</t>
  </si>
  <si>
    <t>CY 2024 - 2028</t>
  </si>
  <si>
    <t>CURRENT BILLING ANALYSIS - 2022 USAGE &amp;  RATES EFFECTIVE January 1, 2022</t>
  </si>
  <si>
    <t>Emp Current Wages and Test-Year Hours</t>
  </si>
  <si>
    <t>Health Insurance Adjustment</t>
  </si>
  <si>
    <t>PWA Rates Case No. 2022-00242</t>
  </si>
  <si>
    <t>PWA Rates Case No. 2023-00243</t>
  </si>
  <si>
    <t>New meters</t>
  </si>
  <si>
    <t>Depreciation. Adj - NARUC</t>
  </si>
  <si>
    <t>Contractual Services - Water Testing</t>
  </si>
  <si>
    <t>Insurance - Gen. Liability</t>
  </si>
  <si>
    <t>Existing</t>
  </si>
  <si>
    <t>Bill</t>
  </si>
  <si>
    <t>Change</t>
  </si>
  <si>
    <t>Percentage</t>
  </si>
  <si>
    <t>Table D</t>
  </si>
  <si>
    <t>Existing and Proposed Bills</t>
  </si>
  <si>
    <t>Current Monthly Rates</t>
  </si>
  <si>
    <t>Proposed Monthly Rates</t>
  </si>
  <si>
    <t>Differences</t>
  </si>
  <si>
    <t>Current and Proposed Rates</t>
  </si>
  <si>
    <t>Table B</t>
  </si>
  <si>
    <t>per Gallon</t>
  </si>
  <si>
    <t>Min. Bill</t>
  </si>
  <si>
    <t>Total Operation and Mant. Expenses</t>
  </si>
  <si>
    <t>Lives</t>
  </si>
  <si>
    <t>Contractual Services - Legal</t>
  </si>
  <si>
    <t>Uother - Unknown</t>
  </si>
  <si>
    <t>Tank Overflows</t>
  </si>
  <si>
    <t>Expense</t>
  </si>
  <si>
    <t>Andrea McCoy</t>
  </si>
  <si>
    <t>Caleb Porter</t>
  </si>
  <si>
    <t>Donavon Hayden</t>
  </si>
  <si>
    <t>Henry Hampton</t>
  </si>
  <si>
    <t>John Lewis</t>
  </si>
  <si>
    <t>Kenneth Howard</t>
  </si>
  <si>
    <t>Morgan Opell</t>
  </si>
  <si>
    <t>Phillip Stone</t>
  </si>
  <si>
    <t>Robert Hicks</t>
  </si>
  <si>
    <t>Salary</t>
  </si>
  <si>
    <t>Ryan Suttles</t>
  </si>
  <si>
    <t>Teresa Porter</t>
  </si>
  <si>
    <t>Thomas McCalvin</t>
  </si>
  <si>
    <t>Tim Webb</t>
  </si>
  <si>
    <t>Pro Forma Adjustment</t>
  </si>
  <si>
    <t>O. Hours</t>
  </si>
  <si>
    <t>On-Call</t>
  </si>
  <si>
    <t>Private Fire Protection</t>
  </si>
  <si>
    <t>Total Metered Sales</t>
  </si>
  <si>
    <t>Total Sales of Water</t>
  </si>
  <si>
    <t>Chemicals</t>
  </si>
  <si>
    <t>Contractual Services - Other</t>
  </si>
  <si>
    <t>Contractual Services - Accounting</t>
  </si>
  <si>
    <t>Rental of Buliding/Real Prop.</t>
  </si>
  <si>
    <t>Insurance - Vehicle</t>
  </si>
  <si>
    <t>Insurance - Workers' Compensation</t>
  </si>
  <si>
    <t>Insurance - Other</t>
  </si>
  <si>
    <t>BUTLER COUNTY WATER SYSTEM, INC.</t>
  </si>
  <si>
    <t>HOURS &amp; WAGES</t>
  </si>
  <si>
    <t>Salary/</t>
  </si>
  <si>
    <t>EXPENSE WAGES - 601 Wage Expense Accts</t>
  </si>
  <si>
    <t>CAPITAL  WAGES 105 Accts</t>
  </si>
  <si>
    <t>OTHER WAGES (Damages)</t>
  </si>
  <si>
    <t xml:space="preserve">TOTAL WAGES </t>
  </si>
  <si>
    <t>Dept</t>
  </si>
  <si>
    <t>Employee No.</t>
  </si>
  <si>
    <t>12/31/22 Job Position</t>
  </si>
  <si>
    <t>Status</t>
  </si>
  <si>
    <t>Regular Hrs</t>
  </si>
  <si>
    <t>Regular $s</t>
  </si>
  <si>
    <t>OT Hours</t>
  </si>
  <si>
    <t>OT $s</t>
  </si>
  <si>
    <t>Total Hrs</t>
  </si>
  <si>
    <t>Total $s</t>
  </si>
  <si>
    <t>2B</t>
  </si>
  <si>
    <t>Active</t>
  </si>
  <si>
    <t>S</t>
  </si>
  <si>
    <t>GIS Analyst</t>
  </si>
  <si>
    <t>2C</t>
  </si>
  <si>
    <t>Construction Foreman</t>
  </si>
  <si>
    <t>Wastewater System Foreman</t>
  </si>
  <si>
    <t>Serviceperson</t>
  </si>
  <si>
    <t>Operations Supervisor</t>
  </si>
  <si>
    <t>Water Quality Technician</t>
  </si>
  <si>
    <t>2E</t>
  </si>
  <si>
    <t>AMR/AMI Supervisor</t>
  </si>
  <si>
    <t>Lead AMR/AMI Technician</t>
  </si>
  <si>
    <t>Water Accountability Supervisor</t>
  </si>
  <si>
    <t xml:space="preserve">Water Accountability Technician </t>
  </si>
  <si>
    <t xml:space="preserve">AMR/AMI Technician </t>
  </si>
  <si>
    <t xml:space="preserve">Collector/Utilityperson </t>
  </si>
  <si>
    <t>2F</t>
  </si>
  <si>
    <t>Engineering Technician</t>
  </si>
  <si>
    <t>Construction Inspector</t>
  </si>
  <si>
    <t xml:space="preserve">Senior Engineer  </t>
  </si>
  <si>
    <t>2H</t>
  </si>
  <si>
    <t>Biling Administrator</t>
  </si>
  <si>
    <t>Systems &amp; Database Administrator</t>
  </si>
  <si>
    <t>General Manager</t>
  </si>
  <si>
    <t>2I</t>
  </si>
  <si>
    <t xml:space="preserve">Customer Service Representative </t>
  </si>
  <si>
    <t>2J</t>
  </si>
  <si>
    <t>Accounting Supervisor- Customer Accounts</t>
  </si>
  <si>
    <t>Accountant</t>
  </si>
  <si>
    <t>Accounting Supervisor- Financial Reporting</t>
  </si>
  <si>
    <t>8B</t>
  </si>
  <si>
    <t>8F</t>
  </si>
  <si>
    <t>Customer Service Supervisor</t>
  </si>
  <si>
    <t xml:space="preserve">     SUBTOTAL</t>
  </si>
  <si>
    <t>CMSS Administrator</t>
  </si>
  <si>
    <t>Lead Dispatch Operator</t>
  </si>
  <si>
    <t>Lead Meter Test Technician</t>
  </si>
  <si>
    <t xml:space="preserve">    TOTAL</t>
  </si>
  <si>
    <t>Capital</t>
  </si>
  <si>
    <t>Locate Specialist</t>
  </si>
  <si>
    <t>5/8-Inch Meter</t>
  </si>
  <si>
    <t>1-Inch Meter</t>
  </si>
  <si>
    <t>1 1/2-Inch Meter</t>
  </si>
  <si>
    <t>2-Inch Meter</t>
  </si>
  <si>
    <t>3-Inch Meter</t>
  </si>
  <si>
    <t>4-Inch Meter</t>
  </si>
  <si>
    <t>6-Inch Meter</t>
  </si>
  <si>
    <t>8-Inch Meter</t>
  </si>
  <si>
    <t>Less:  Negative Usage</t>
  </si>
  <si>
    <t>less:  Min. Bill.</t>
  </si>
  <si>
    <t>Adjusted Total</t>
  </si>
  <si>
    <t>Less:  2022 Revenues from Water Sales</t>
  </si>
  <si>
    <t>4-Inch</t>
  </si>
  <si>
    <t>6-Inch</t>
  </si>
  <si>
    <t>Less:  2022 Fire Protection Revenues</t>
  </si>
  <si>
    <t>Total Billing Analysis  5/8-Inch Meter</t>
  </si>
  <si>
    <t>1-Inch Meter:</t>
  </si>
  <si>
    <t>1.5-Inch Meter</t>
  </si>
  <si>
    <t>6-Inch FD</t>
  </si>
  <si>
    <t>Rates Authorized on January 1, 2023 in Case No. 2022-00390 (PWA):</t>
  </si>
  <si>
    <t>Billing Analysis Total</t>
  </si>
  <si>
    <t>Butler Billing Analysis Summary</t>
  </si>
  <si>
    <t>3-Inch FD</t>
  </si>
  <si>
    <t>4-Inch FD</t>
  </si>
  <si>
    <t>3-Inch</t>
  </si>
  <si>
    <t>DEBT SERVICE SCHDEDULE</t>
  </si>
  <si>
    <t>Lender:</t>
  </si>
  <si>
    <t>KRWFC</t>
  </si>
  <si>
    <t>USDA</t>
  </si>
  <si>
    <t>Issued:</t>
  </si>
  <si>
    <t>2012G</t>
  </si>
  <si>
    <t>2021B</t>
  </si>
  <si>
    <t>Rate:</t>
  </si>
  <si>
    <t>2.80% - 4.00%</t>
  </si>
  <si>
    <t>2.20% - 3.20%</t>
  </si>
  <si>
    <t>TIC</t>
  </si>
  <si>
    <t>N/A</t>
  </si>
  <si>
    <t>2.35% (TIC)</t>
  </si>
  <si>
    <t>Loan ID:</t>
  </si>
  <si>
    <t>Series 2012G</t>
  </si>
  <si>
    <t>#91-24 (Prev 91-24)</t>
  </si>
  <si>
    <t>#91-26</t>
  </si>
  <si>
    <t>Series 2021B</t>
  </si>
  <si>
    <t>Project:</t>
  </si>
  <si>
    <t>Refinancing</t>
  </si>
  <si>
    <t>Water Treatment Plant Improvements</t>
  </si>
  <si>
    <t>Line Extensions &amp; AMR System</t>
  </si>
  <si>
    <t>Annual Pymt:</t>
  </si>
  <si>
    <t>Aug 1st \ Feb 1st</t>
  </si>
  <si>
    <t>November 16th</t>
  </si>
  <si>
    <t>March 28th</t>
  </si>
  <si>
    <t>Loan Amt:</t>
  </si>
  <si>
    <t>Year</t>
  </si>
  <si>
    <t>Fees</t>
  </si>
  <si>
    <t>KRWFC 2012G</t>
  </si>
  <si>
    <t>USDA 2014</t>
  </si>
  <si>
    <t>USDA 2018</t>
  </si>
  <si>
    <t>KRWFC 2021B</t>
  </si>
  <si>
    <t>Principal, Interest &amp; Fee</t>
  </si>
  <si>
    <t>SIMPSON COUNTY WATER DISTRIXCT</t>
  </si>
  <si>
    <t>Warren County Water District</t>
  </si>
  <si>
    <t>Pension &amp; Benefits Allocation</t>
  </si>
  <si>
    <t>2022 Health Insurance Benefits</t>
  </si>
  <si>
    <t>Anthem Blue Cross and Blue Shield</t>
  </si>
  <si>
    <t>MisclassifiedPayroll Taxes:</t>
  </si>
  <si>
    <t>Employees</t>
  </si>
  <si>
    <t>Commissioners</t>
  </si>
  <si>
    <t>Year 2022</t>
  </si>
  <si>
    <t>TOTAL PAID BY WARREN COUNTY WATER DISTRICT</t>
  </si>
  <si>
    <t># of Empl</t>
  </si>
  <si>
    <t>WCWD</t>
  </si>
  <si>
    <t>Descripiton</t>
  </si>
  <si>
    <t>Other</t>
  </si>
  <si>
    <t xml:space="preserve"> Coverage Types</t>
  </si>
  <si>
    <t>Coverage</t>
  </si>
  <si>
    <t>Covered</t>
  </si>
  <si>
    <t>Monthly Rates</t>
  </si>
  <si>
    <t>1A</t>
  </si>
  <si>
    <t>Payroll Taxes -  Employees</t>
  </si>
  <si>
    <t>Family (F)</t>
  </si>
  <si>
    <t>1B</t>
  </si>
  <si>
    <t>Payroll Taxes -  Commissioners</t>
  </si>
  <si>
    <t>Employee/Children (EC)</t>
  </si>
  <si>
    <t>Birthday Holiday Accrual</t>
  </si>
  <si>
    <t>Employeel/Spouse (ES)</t>
  </si>
  <si>
    <t>United Way Day Holiday/Prizes</t>
  </si>
  <si>
    <t>Employee Only (E)</t>
  </si>
  <si>
    <t>Sick Leave Accrual</t>
  </si>
  <si>
    <t xml:space="preserve">401A Contribution </t>
  </si>
  <si>
    <t>Insurance - Medical</t>
  </si>
  <si>
    <t xml:space="preserve">Insurance - Dental </t>
  </si>
  <si>
    <t>Insurance - Basic Life</t>
  </si>
  <si>
    <t>Insurance - Long-Term Disability</t>
  </si>
  <si>
    <t xml:space="preserve">Pension </t>
  </si>
  <si>
    <t>Agreed Upon Procedure Engagement</t>
  </si>
  <si>
    <t>Retirement &amp; Security Accrual</t>
  </si>
  <si>
    <t>Annual Leave Accrual</t>
  </si>
  <si>
    <t>Wellness Awards Accrual</t>
  </si>
  <si>
    <t>Holiday Pay Accrual</t>
  </si>
  <si>
    <t xml:space="preserve">  SUBTOTAL </t>
  </si>
  <si>
    <t>Reimbursement - 2021 Deficit</t>
  </si>
  <si>
    <t>Reimbursement - 2022 Surplus</t>
  </si>
  <si>
    <t xml:space="preserve">  TOTAL Pension &amp; Benefits</t>
  </si>
  <si>
    <t xml:space="preserve">  TOTAL - Pension, Benefits, and OPEB</t>
  </si>
  <si>
    <t xml:space="preserve">PSC Annual </t>
  </si>
  <si>
    <t>Pro Forma Employee Salaries &amp; Wages expense</t>
  </si>
  <si>
    <t>Add:  Commissioner Fees</t>
  </si>
  <si>
    <t>Salaries and Fees Subject to FICA</t>
  </si>
  <si>
    <t>Multiplied by:  FICA Rate</t>
  </si>
  <si>
    <t>Pro Forma Payroll Tax</t>
  </si>
  <si>
    <t>New Projects - Depreciation Expense:</t>
  </si>
  <si>
    <t>Depreciation</t>
  </si>
  <si>
    <t>Project Description</t>
  </si>
  <si>
    <t>Project</t>
  </si>
  <si>
    <t>Date</t>
  </si>
  <si>
    <t>SCADA Replacement</t>
  </si>
  <si>
    <t>In-Progress</t>
  </si>
  <si>
    <t>Installed Year 2023</t>
  </si>
  <si>
    <t xml:space="preserve">  Totals</t>
  </si>
  <si>
    <t>Depreciation Adjustment</t>
  </si>
  <si>
    <t>Tank Repair - Silver City</t>
  </si>
  <si>
    <t>Painting - WTP &amp; Pump Stations</t>
  </si>
  <si>
    <t>Cityworks Asset Management Software Implementation</t>
  </si>
  <si>
    <t>Meter Installations</t>
  </si>
  <si>
    <t>Creek Crossing</t>
  </si>
  <si>
    <t>BUTLER COUNTY WATER SYSTEM ALLOCATION</t>
  </si>
  <si>
    <t>Other Post Employement Benefits (OPEB)</t>
  </si>
  <si>
    <t>Private Fire Service Rates:</t>
  </si>
  <si>
    <t>Allocation Factor</t>
  </si>
  <si>
    <t>Multiplied by: Allocation Factor</t>
  </si>
  <si>
    <t>Pension</t>
  </si>
  <si>
    <t>Emp Sal &amp; Wages</t>
  </si>
  <si>
    <t>Employer</t>
  </si>
  <si>
    <t>Cont. Rates</t>
  </si>
  <si>
    <t>Pro Forma Retirement</t>
  </si>
  <si>
    <t>Less:  Test-Year Emp. Retirement</t>
  </si>
  <si>
    <t>Retirement Adjustment</t>
  </si>
  <si>
    <t>2022 Employee</t>
  </si>
  <si>
    <t>2022 ANTHEM</t>
  </si>
  <si>
    <t>Reg</t>
  </si>
  <si>
    <t>BA</t>
  </si>
  <si>
    <t>Negative Usage</t>
  </si>
  <si>
    <t>$</t>
  </si>
  <si>
    <t>Min Bill</t>
  </si>
  <si>
    <t>Normalization Adjutment</t>
  </si>
  <si>
    <t>Less:  Billing Adjustments</t>
  </si>
  <si>
    <t>Completion</t>
  </si>
  <si>
    <t>Adjustment to Depreciation Expense - Adoption of NARUC Estimated Lives</t>
  </si>
  <si>
    <t>Depreciation Expense - Change in Estimated Life for Badger 5/8" Meters</t>
  </si>
  <si>
    <t>Depreciation Schedule</t>
  </si>
  <si>
    <t>Butler County Water System</t>
  </si>
  <si>
    <t>Acct.</t>
  </si>
  <si>
    <t>UPIS</t>
  </si>
  <si>
    <t>Accum. Dep</t>
  </si>
  <si>
    <t>2022 Acc Depr</t>
  </si>
  <si>
    <t>2022 Adjmt</t>
  </si>
  <si>
    <t>2022 Total</t>
  </si>
  <si>
    <t>Dep.</t>
  </si>
  <si>
    <t>Account Title</t>
  </si>
  <si>
    <t>Balance</t>
  </si>
  <si>
    <t>Asset Disposals</t>
  </si>
  <si>
    <t>Dep. Exp.</t>
  </si>
  <si>
    <t>to NARUC</t>
  </si>
  <si>
    <t>Depr Exp</t>
  </si>
  <si>
    <t>Land &amp; Land Rights</t>
  </si>
  <si>
    <t>Land $Land Rights</t>
  </si>
  <si>
    <t>Structures &amp; Improvements</t>
  </si>
  <si>
    <t>Structures and Inprovements</t>
  </si>
  <si>
    <t>River Intake</t>
  </si>
  <si>
    <t>Supply Mains</t>
  </si>
  <si>
    <t>Pumping Equipment</t>
  </si>
  <si>
    <t>WTP Equipment</t>
  </si>
  <si>
    <t>Distibutions Reservoirs &amp; Standpipes</t>
  </si>
  <si>
    <t>Transmission &amp; Distibution Mains</t>
  </si>
  <si>
    <t>SCADA Equipment</t>
  </si>
  <si>
    <t>Meter Services</t>
  </si>
  <si>
    <t>Meters &amp; Meter Instalations</t>
  </si>
  <si>
    <t xml:space="preserve">Meters </t>
  </si>
  <si>
    <t>Meter Instalations</t>
  </si>
  <si>
    <t>Hydrants</t>
  </si>
  <si>
    <t>Other Equipment - Pumping</t>
  </si>
  <si>
    <t>Software</t>
  </si>
  <si>
    <t>Office Furniture and Equipment</t>
  </si>
  <si>
    <t>CIS Billing Software</t>
  </si>
  <si>
    <t>Hardware</t>
  </si>
  <si>
    <t>Office Furniture and Equipment (Software)</t>
  </si>
  <si>
    <t xml:space="preserve">Transportation Eqipment </t>
  </si>
  <si>
    <t>Tools &amp; Shop Equipment</t>
  </si>
  <si>
    <t xml:space="preserve">Misc.  Equipment </t>
  </si>
  <si>
    <t>Communications Equipment</t>
  </si>
  <si>
    <t>Equip-Other</t>
  </si>
  <si>
    <t>Misc.  Equipment (Mower 4/2021)</t>
  </si>
  <si>
    <t>Depreciation Expense - New Projects:</t>
  </si>
  <si>
    <t>Adjustments to Depreciation Expense</t>
  </si>
  <si>
    <t>TOTAL</t>
  </si>
  <si>
    <t xml:space="preserve">Adjusted Depreciation Expense </t>
  </si>
  <si>
    <t>Depreciation Schedule - 2023</t>
  </si>
  <si>
    <t>2023 Acc Depr</t>
  </si>
  <si>
    <t>2023 Adjmt</t>
  </si>
  <si>
    <t>2023 Total</t>
  </si>
  <si>
    <t>Balance 12/31/23</t>
  </si>
  <si>
    <t>Meters (Badger 5/8")</t>
  </si>
  <si>
    <t>Year 2023 Total Depreciation Expense after adjustment to NARUC</t>
  </si>
  <si>
    <t>Year 2023 Adjustment for Change in Lives for Meters</t>
  </si>
  <si>
    <t>Year 2023 Projected Depreciation Expense</t>
  </si>
  <si>
    <t>YEAR 2024 (Base Year 2022)</t>
  </si>
  <si>
    <t>Plus 5%</t>
  </si>
  <si>
    <t>Hrly Rate</t>
  </si>
  <si>
    <t>Watt</t>
  </si>
  <si>
    <t>Accounting Clerk (Replacement for 2J-85)</t>
  </si>
  <si>
    <t>Haley</t>
  </si>
  <si>
    <t>Lawrence</t>
  </si>
  <si>
    <t>Daugherty</t>
  </si>
  <si>
    <t>Accounting Clerk</t>
  </si>
  <si>
    <t>Gentry</t>
  </si>
  <si>
    <t>Hartis</t>
  </si>
  <si>
    <t>Caldwell</t>
  </si>
  <si>
    <t>Comer</t>
  </si>
  <si>
    <t>Goodall</t>
  </si>
  <si>
    <t>Sipes</t>
  </si>
  <si>
    <t>BC Customer Service Representative - PT</t>
  </si>
  <si>
    <t>Morris</t>
  </si>
  <si>
    <t>BC Office Coordinator</t>
  </si>
  <si>
    <t>Phelps</t>
  </si>
  <si>
    <t>Biling Administrator (Replacement for 2H-26)</t>
  </si>
  <si>
    <t>Edmonds</t>
  </si>
  <si>
    <t>Brown</t>
  </si>
  <si>
    <t>Coots</t>
  </si>
  <si>
    <t>Deel</t>
  </si>
  <si>
    <t>Potter</t>
  </si>
  <si>
    <t>Stratton</t>
  </si>
  <si>
    <t>Construction Inspector (Replacement for 2F-218)</t>
  </si>
  <si>
    <t>Vacant</t>
  </si>
  <si>
    <t>Construction Supervisor</t>
  </si>
  <si>
    <t>Controls Technician</t>
  </si>
  <si>
    <t>Updegraff</t>
  </si>
  <si>
    <t>Willis</t>
  </si>
  <si>
    <t>Hale</t>
  </si>
  <si>
    <t>DPM/Inspection Supervisor</t>
  </si>
  <si>
    <t>Hawthorne</t>
  </si>
  <si>
    <t>Simpson</t>
  </si>
  <si>
    <t>Executive Assistant</t>
  </si>
  <si>
    <t>Freeman</t>
  </si>
  <si>
    <t>Cuarta</t>
  </si>
  <si>
    <t>Smith</t>
  </si>
  <si>
    <t>IT Support Technician</t>
  </si>
  <si>
    <t>Davidson</t>
  </si>
  <si>
    <t>Bratcher</t>
  </si>
  <si>
    <t>Kenner</t>
  </si>
  <si>
    <t>Lead Water Accountability Technician</t>
  </si>
  <si>
    <t>Flener</t>
  </si>
  <si>
    <t>Manager of Engineering</t>
  </si>
  <si>
    <t>Harbison</t>
  </si>
  <si>
    <t>Manager of Finance &amp; Administration</t>
  </si>
  <si>
    <t>Peeples</t>
  </si>
  <si>
    <t>Manager of Human Resources &amp; Comm</t>
  </si>
  <si>
    <t xml:space="preserve"> Harmon</t>
  </si>
  <si>
    <t>Manager of IT/GIS</t>
  </si>
  <si>
    <t>Malone</t>
  </si>
  <si>
    <t>Manager of Operations</t>
  </si>
  <si>
    <t>Tillery</t>
  </si>
  <si>
    <t>Operations Coordinator</t>
  </si>
  <si>
    <t>Phillippi</t>
  </si>
  <si>
    <t>Wilkinson</t>
  </si>
  <si>
    <t>Repairsperson\Operator</t>
  </si>
  <si>
    <t>Moyers</t>
  </si>
  <si>
    <t>Young</t>
  </si>
  <si>
    <t>Murphy</t>
  </si>
  <si>
    <t>Repairsperson\Operator (Replacement for 2C-167)</t>
  </si>
  <si>
    <t>Ernst</t>
  </si>
  <si>
    <t>Clothier</t>
  </si>
  <si>
    <t>Edwards</t>
  </si>
  <si>
    <t>Hurley</t>
  </si>
  <si>
    <t>Sr. Construction Inspector</t>
  </si>
  <si>
    <t>Collins</t>
  </si>
  <si>
    <t>Johnson</t>
  </si>
  <si>
    <t>Wastewater Technician</t>
  </si>
  <si>
    <t>Blomier</t>
  </si>
  <si>
    <t>Havener</t>
  </si>
  <si>
    <t>Vance</t>
  </si>
  <si>
    <t>Water Accountability Technician (Replacement for 2E-175)</t>
  </si>
  <si>
    <t>Hildreth</t>
  </si>
  <si>
    <t>Knight</t>
  </si>
  <si>
    <t>WTP &amp; Distribution Supervisor</t>
  </si>
  <si>
    <t>Hatcher</t>
  </si>
  <si>
    <t>WTP &amp; System Operator</t>
  </si>
  <si>
    <t>Bledsoe</t>
  </si>
  <si>
    <t>Kirby</t>
  </si>
  <si>
    <t>Allocation Variance</t>
  </si>
  <si>
    <t>New Positions Added in Year 2023/2024</t>
  </si>
  <si>
    <t>Job Description</t>
  </si>
  <si>
    <t>Hire Date</t>
  </si>
  <si>
    <t>Customer Service Wages Recording to 100% Expense in Year 2024</t>
  </si>
  <si>
    <t>Year 2024 Wage Expense</t>
  </si>
  <si>
    <t>Year 2022 Wage Expense</t>
  </si>
  <si>
    <t>Total Increase</t>
  </si>
  <si>
    <t>(Includes 5%)</t>
  </si>
  <si>
    <t>Vacant Positions in Year 2024 (Active Positions in Year 2022):</t>
  </si>
  <si>
    <t xml:space="preserve">Engineer </t>
  </si>
  <si>
    <t>General Manager (Replacement for 2H-28)</t>
  </si>
  <si>
    <t>Dep 2023 Plant Additions</t>
  </si>
  <si>
    <t>Revised Dep Lives AMR Meters</t>
  </si>
  <si>
    <t>Eliminate Adjust for Prior Periods</t>
  </si>
  <si>
    <t>Pro Forma FICA Tax</t>
  </si>
  <si>
    <r>
      <t xml:space="preserve">Anthem BCBS Employee </t>
    </r>
    <r>
      <rPr>
        <b/>
        <sz val="8"/>
        <color rgb="FFFF0000"/>
        <rFont val="Arial"/>
        <family val="2"/>
      </rPr>
      <t>Medical</t>
    </r>
  </si>
  <si>
    <t>WCWC</t>
  </si>
  <si>
    <r>
      <t xml:space="preserve">Anthem BCBS Employee </t>
    </r>
    <r>
      <rPr>
        <b/>
        <sz val="8"/>
        <color rgb="FFFF0000"/>
        <rFont val="Arial"/>
        <family val="2"/>
      </rPr>
      <t>Dental</t>
    </r>
    <r>
      <rPr>
        <b/>
        <sz val="8"/>
        <rFont val="Arial"/>
        <family val="2"/>
      </rPr>
      <t xml:space="preserve"> </t>
    </r>
  </si>
  <si>
    <t>2024 Employee Health Insurance</t>
  </si>
  <si>
    <t>2024 Employee Dental Insurance</t>
  </si>
  <si>
    <t>Total Employee Health and Dental</t>
  </si>
  <si>
    <t>Pro Forma Emp Medical &amp; Dental</t>
  </si>
  <si>
    <t>Less:  Test-Year Emp Medical &amp; Dental</t>
  </si>
  <si>
    <t>Test-Year Medical</t>
  </si>
  <si>
    <t>Test-Year Dental</t>
  </si>
  <si>
    <t>Test-Year Emp Medical &amp; Dental</t>
  </si>
  <si>
    <t>Allocated Emp Hours</t>
  </si>
  <si>
    <t>Total Employee Hours</t>
  </si>
  <si>
    <t xml:space="preserve"> Test-Year Emp. Retirement</t>
  </si>
  <si>
    <t>Allocated Employe Hrours Expensed</t>
  </si>
  <si>
    <t>Total Annual</t>
  </si>
  <si>
    <t>Otime</t>
  </si>
  <si>
    <t>Hours</t>
  </si>
  <si>
    <t>Electricty</t>
  </si>
  <si>
    <t>Cost of Water Production</t>
  </si>
  <si>
    <t>Multipled by: Excessive Water Loss</t>
  </si>
  <si>
    <t>Cost ofExcessive Water Loss</t>
  </si>
  <si>
    <t>Butler County Water System, Inc.</t>
  </si>
  <si>
    <t>Existing Rates</t>
  </si>
  <si>
    <t>Misclassified FICA</t>
  </si>
  <si>
    <t>Employee Medical &amp; Dental Allocation</t>
  </si>
  <si>
    <t>Employee Pension and 401(k) Allocation</t>
  </si>
  <si>
    <t>Allocation of Current Staff Hours at the 2024 Wage Rates</t>
  </si>
  <si>
    <t>Adjustment reflects Test-Year Gallons sold and elimination of unbilled revenues.</t>
  </si>
  <si>
    <t>Results of Billing Analysis</t>
  </si>
  <si>
    <t>Cost Line Loss of 15% Allowable limit</t>
  </si>
  <si>
    <t>Rental of Building/Real Prop.</t>
  </si>
  <si>
    <t>Appendix A</t>
  </si>
  <si>
    <t>CURRENT RATES</t>
  </si>
  <si>
    <t>Phase In</t>
  </si>
  <si>
    <t>of Request</t>
  </si>
  <si>
    <t>Year 1 RATE SCHEDULE *</t>
  </si>
  <si>
    <t>Pro Forma Revenue</t>
  </si>
  <si>
    <t>Less:  Operating Expenses</t>
  </si>
  <si>
    <t>Less:  Debt Service</t>
  </si>
  <si>
    <t>Add:  Depreciation</t>
  </si>
  <si>
    <t>Less:  Coverage</t>
  </si>
  <si>
    <t>Year 1</t>
  </si>
  <si>
    <t>Year 2</t>
  </si>
  <si>
    <t>Dollar</t>
  </si>
  <si>
    <t>Current and Proposed Customer Bills</t>
  </si>
  <si>
    <t>Average</t>
  </si>
  <si>
    <t>Current</t>
  </si>
  <si>
    <t>Usage</t>
  </si>
  <si>
    <t>1.5 Inch Meter</t>
  </si>
  <si>
    <t>RATE SCHEDULE</t>
  </si>
  <si>
    <t>EXISTING RATES</t>
  </si>
  <si>
    <t>YEAR 1 PHASE-IN</t>
  </si>
  <si>
    <t>AMOUNT</t>
  </si>
  <si>
    <t>%</t>
  </si>
  <si>
    <t>YEAR 1 RATES</t>
  </si>
  <si>
    <t>YEAR 2 RATES</t>
  </si>
  <si>
    <t>DIF. YEAR 1 &amp; 2</t>
  </si>
  <si>
    <t>DIF. EX RATES  &amp; YEAR 1</t>
  </si>
  <si>
    <t>Year 1 Rates</t>
  </si>
  <si>
    <t>YEAR 2 PHASE-IN</t>
  </si>
  <si>
    <t>Year 1 Bill</t>
  </si>
  <si>
    <t>Year 2 Bill</t>
  </si>
  <si>
    <t>Phase 1 Rates</t>
  </si>
  <si>
    <t>Phase 2 Rates</t>
  </si>
  <si>
    <t>Year 2 Rates</t>
  </si>
  <si>
    <t>PROPOSED RATES YEAR 1 PHASE-IN</t>
  </si>
  <si>
    <t>PROPOSED RATES YEAR 2 PHASE-IN</t>
  </si>
  <si>
    <t>DIFFERENCES TOTAL</t>
  </si>
  <si>
    <t>Table C (Cont)</t>
  </si>
  <si>
    <t>PROPOISED RATES YEAR 1 PHASE-IN</t>
  </si>
  <si>
    <t>DIFFERENCES</t>
  </si>
  <si>
    <t>PROPOISED RATES YEAR 2 PHASE-IN</t>
  </si>
  <si>
    <t>8-Inch</t>
  </si>
  <si>
    <t>1-1/2-Inch FD</t>
  </si>
  <si>
    <t>2-Inch FD</t>
  </si>
  <si>
    <t>8-Inch FD</t>
  </si>
  <si>
    <t>10-Inch FD</t>
  </si>
  <si>
    <t>12-Inch FD</t>
  </si>
  <si>
    <t>1-1/2-Inch</t>
  </si>
  <si>
    <t>2-Inch</t>
  </si>
  <si>
    <t>10-Inch</t>
  </si>
  <si>
    <t>12-Inch</t>
  </si>
  <si>
    <t xml:space="preserve"> 5/8-Inch x 3/4-Inch- Meter</t>
  </si>
  <si>
    <t>Proposed</t>
  </si>
  <si>
    <t>Table D Year 1</t>
  </si>
  <si>
    <t>Table D Year 2</t>
  </si>
  <si>
    <t>PROPOISED RATES</t>
  </si>
  <si>
    <t>Amount</t>
  </si>
  <si>
    <t>CURRENT YEAR &amp; YEAR 1</t>
  </si>
  <si>
    <t>YEAR 1 &amp; YEAR 2</t>
  </si>
  <si>
    <t xml:space="preserve">Table D </t>
  </si>
  <si>
    <t>Proposed Year 1 and Year 2 Rates</t>
  </si>
  <si>
    <t>Current and Proposed Rates Year 1</t>
  </si>
  <si>
    <t>Current Billing Analysis - 2022 Water Usage and Existing Rates</t>
  </si>
  <si>
    <t>Summary</t>
  </si>
  <si>
    <t>Current Billing Analysis - 2022 Water Usage and Existing Rates (Cont.)</t>
  </si>
  <si>
    <t>Total Billing Analysis  1.5-Inch Meter</t>
  </si>
  <si>
    <t>Total Billing Analysis  1-Inch Meter</t>
  </si>
  <si>
    <t>Total Billing Analysis  2-Inch Meter</t>
  </si>
  <si>
    <t>Total Billing Analysis  3-Inch Meter</t>
  </si>
  <si>
    <t>Total Billing Analysis  6-Inch Meter</t>
  </si>
  <si>
    <t xml:space="preserve">Total Billing Analysis </t>
  </si>
  <si>
    <t>Proposed Billing Analysis - 2022 Water Usage and Year 1 Rates</t>
  </si>
  <si>
    <t>Proposed Billing Analysis - 2022 Water Usage and Year 2 Rates</t>
  </si>
  <si>
    <t>Current Billing Analysis - 2022 Water Usage and Year 2  Rates (Cont.)</t>
  </si>
  <si>
    <t>Current Billing Analysis - 2022 Water Usage and Year 1  Rates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</si>
</sst>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* #,##0_);_(* \(#,##0\);_(* &quot;-&quot;??_);_(@_)"/>
    <numFmt numFmtId="167" formatCode="0.0%"/>
    <numFmt numFmtId="168" formatCode="0.000%"/>
    <numFmt numFmtId="169" formatCode="_(* #,##0.000_);_(* \(#,##0.000\);_(* &quot;-&quot;??_);_(@_)"/>
    <numFmt numFmtId="170" formatCode="0_);\(0\)"/>
    <numFmt numFmtId="171" formatCode="_(* #,##0.00000_);_(* \(#,##0.00000\);_(* &quot;-&quot;??_);_(@_)"/>
    <numFmt numFmtId="172" formatCode="_(&quot;$&quot;* #,##0.00000_);_(&quot;$&quot;* \(#,##0.00000\);_(&quot;$&quot;* &quot;-&quot;??_);_(@_)"/>
    <numFmt numFmtId="173" formatCode="#,##0.00000_);\(#,##0.00000\)"/>
    <numFmt numFmtId="174" formatCode="#,##0.00000"/>
    <numFmt numFmtId="175" formatCode="_(&quot;$&quot;* #,##0.00000_);_(&quot;$&quot;* \(#,##0.00000\);_(&quot;$&quot;* &quot;-&quot;?????_);_(@_)"/>
    <numFmt numFmtId="176" formatCode="&quot;$&quot;#,##0"/>
    <numFmt numFmtId="177" formatCode="0.0"/>
    <numFmt numFmtId="178" formatCode="0.00000"/>
    <numFmt numFmtId="179" formatCode="mm/dd/yy;@"/>
    <numFmt numFmtId="180" formatCode="0.0_);\(0.0\)"/>
    <numFmt numFmtId="181" formatCode="0.0000%"/>
    <numFmt numFmtId="182" formatCode="_(&quot;$&quot;* #,##0.000000_);_(&quot;$&quot;* \(#,##0.000000\);_(&quot;$&quot;* &quot;-&quot;??_);_(@_)"/>
  </numFmts>
  <fonts count="75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2"/>
      <color rgb="FFFF0000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u val="singleAccounting"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u/>
      <sz val="18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u/>
      <sz val="12"/>
      <name val="Arial"/>
      <family val="2"/>
    </font>
    <font>
      <sz val="12"/>
      <color theme="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8"/>
      <name val="Calibri"/>
      <family val="2"/>
      <scheme val="minor"/>
    </font>
    <font>
      <sz val="14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u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6" fontId="4" fillId="0" borderId="0" xfId="1" applyNumberFormat="1" applyFont="1"/>
    <xf numFmtId="166" fontId="4" fillId="0" borderId="0" xfId="1" applyNumberFormat="1" applyFont="1" applyBorder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6" fontId="4" fillId="0" borderId="0" xfId="5" applyNumberFormat="1" applyFont="1"/>
    <xf numFmtId="44" fontId="4" fillId="0" borderId="0" xfId="4" applyFont="1"/>
    <xf numFmtId="3" fontId="4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0" fontId="9" fillId="0" borderId="0" xfId="0" applyFont="1"/>
    <xf numFmtId="166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43" fontId="4" fillId="0" borderId="0" xfId="5" applyFont="1"/>
    <xf numFmtId="168" fontId="4" fillId="0" borderId="0" xfId="6" applyNumberFormat="1" applyFont="1"/>
    <xf numFmtId="166" fontId="4" fillId="0" borderId="0" xfId="5" applyNumberFormat="1" applyFont="1" applyAlignment="1">
      <alignment vertical="center"/>
    </xf>
    <xf numFmtId="166" fontId="4" fillId="0" borderId="0" xfId="0" applyNumberFormat="1" applyFont="1"/>
    <xf numFmtId="3" fontId="3" fillId="0" borderId="0" xfId="0" applyNumberFormat="1" applyFont="1"/>
    <xf numFmtId="3" fontId="13" fillId="0" borderId="0" xfId="0" applyNumberFormat="1" applyFont="1" applyAlignment="1">
      <alignment horizontal="left" vertical="center"/>
    </xf>
    <xf numFmtId="166" fontId="7" fillId="0" borderId="0" xfId="1" applyNumberFormat="1" applyFont="1"/>
    <xf numFmtId="43" fontId="4" fillId="0" borderId="0" xfId="0" applyNumberFormat="1" applyFont="1"/>
    <xf numFmtId="164" fontId="4" fillId="0" borderId="0" xfId="2" applyNumberFormat="1" applyFont="1"/>
    <xf numFmtId="168" fontId="12" fillId="0" borderId="0" xfId="6" applyNumberFormat="1" applyFont="1"/>
    <xf numFmtId="166" fontId="4" fillId="0" borderId="1" xfId="1" applyNumberFormat="1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7" xfId="0" applyFont="1" applyBorder="1"/>
    <xf numFmtId="166" fontId="3" fillId="0" borderId="0" xfId="5" applyNumberFormat="1" applyFont="1"/>
    <xf numFmtId="43" fontId="4" fillId="0" borderId="0" xfId="1" applyFont="1"/>
    <xf numFmtId="43" fontId="7" fillId="0" borderId="0" xfId="1" applyFont="1"/>
    <xf numFmtId="3" fontId="3" fillId="0" borderId="0" xfId="0" applyNumberFormat="1" applyFont="1" applyAlignment="1">
      <alignment horizontal="left" vertical="center"/>
    </xf>
    <xf numFmtId="43" fontId="7" fillId="0" borderId="0" xfId="5" applyFont="1" applyAlignment="1">
      <alignment horizontal="center"/>
    </xf>
    <xf numFmtId="43" fontId="4" fillId="0" borderId="0" xfId="1" applyFont="1" applyAlignment="1">
      <alignment horizontal="right"/>
    </xf>
    <xf numFmtId="165" fontId="4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164" fontId="16" fillId="0" borderId="9" xfId="2" applyNumberFormat="1" applyFont="1" applyBorder="1"/>
    <xf numFmtId="164" fontId="4" fillId="0" borderId="1" xfId="2" applyNumberFormat="1" applyFont="1" applyBorder="1"/>
    <xf numFmtId="10" fontId="4" fillId="0" borderId="1" xfId="0" applyNumberFormat="1" applyFont="1" applyBorder="1"/>
    <xf numFmtId="168" fontId="3" fillId="0" borderId="0" xfId="6" applyNumberFormat="1" applyFont="1"/>
    <xf numFmtId="0" fontId="3" fillId="0" borderId="0" xfId="0" applyFont="1"/>
    <xf numFmtId="166" fontId="3" fillId="0" borderId="0" xfId="1" applyNumberFormat="1" applyFont="1"/>
    <xf numFmtId="43" fontId="3" fillId="0" borderId="0" xfId="5" applyFont="1"/>
    <xf numFmtId="3" fontId="17" fillId="0" borderId="0" xfId="0" applyNumberFormat="1" applyFont="1"/>
    <xf numFmtId="43" fontId="4" fillId="0" borderId="0" xfId="1" applyFont="1" applyAlignment="1">
      <alignment horizontal="center"/>
    </xf>
    <xf numFmtId="166" fontId="14" fillId="0" borderId="0" xfId="1" applyNumberFormat="1" applyFont="1"/>
    <xf numFmtId="43" fontId="4" fillId="0" borderId="0" xfId="1" applyFont="1" applyBorder="1"/>
    <xf numFmtId="43" fontId="7" fillId="0" borderId="0" xfId="1" applyFont="1" applyAlignment="1">
      <alignment horizontal="center"/>
    </xf>
    <xf numFmtId="166" fontId="4" fillId="0" borderId="0" xfId="5" applyNumberFormat="1" applyFont="1" applyAlignment="1">
      <alignment horizontal="right"/>
    </xf>
    <xf numFmtId="43" fontId="3" fillId="0" borderId="0" xfId="5" applyFont="1" applyAlignment="1">
      <alignment horizontal="right"/>
    </xf>
    <xf numFmtId="43" fontId="4" fillId="0" borderId="0" xfId="1" quotePrefix="1" applyFont="1" applyAlignment="1">
      <alignment horizontal="right"/>
    </xf>
    <xf numFmtId="166" fontId="7" fillId="0" borderId="0" xfId="1" applyNumberFormat="1" applyFont="1" applyBorder="1"/>
    <xf numFmtId="0" fontId="14" fillId="0" borderId="0" xfId="0" applyFont="1"/>
    <xf numFmtId="0" fontId="21" fillId="0" borderId="0" xfId="0" applyFont="1"/>
    <xf numFmtId="3" fontId="9" fillId="0" borderId="4" xfId="0" applyNumberFormat="1" applyFont="1" applyBorder="1"/>
    <xf numFmtId="3" fontId="9" fillId="0" borderId="5" xfId="0" applyNumberFormat="1" applyFont="1" applyBorder="1"/>
    <xf numFmtId="166" fontId="4" fillId="0" borderId="0" xfId="1" applyNumberFormat="1" applyFont="1" applyBorder="1" applyAlignment="1">
      <alignment vertical="center"/>
    </xf>
    <xf numFmtId="3" fontId="20" fillId="0" borderId="0" xfId="0" applyNumberFormat="1" applyFont="1" applyAlignment="1">
      <alignment horizontal="center" vertical="center"/>
    </xf>
    <xf numFmtId="166" fontId="4" fillId="0" borderId="6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166" fontId="4" fillId="0" borderId="0" xfId="1" applyNumberFormat="1" applyFont="1" applyBorder="1" applyAlignment="1"/>
    <xf numFmtId="3" fontId="10" fillId="0" borderId="6" xfId="0" applyNumberFormat="1" applyFont="1" applyBorder="1" applyAlignment="1">
      <alignment horizontal="center" vertical="center"/>
    </xf>
    <xf numFmtId="166" fontId="9" fillId="0" borderId="6" xfId="1" applyNumberFormat="1" applyFont="1" applyBorder="1"/>
    <xf numFmtId="166" fontId="4" fillId="0" borderId="0" xfId="1" quotePrefix="1" applyNumberFormat="1" applyFont="1" applyBorder="1" applyAlignment="1">
      <alignment vertical="center"/>
    </xf>
    <xf numFmtId="166" fontId="4" fillId="0" borderId="6" xfId="1" quotePrefix="1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6" fontId="7" fillId="0" borderId="0" xfId="5" applyNumberFormat="1" applyFont="1"/>
    <xf numFmtId="166" fontId="7" fillId="0" borderId="0" xfId="0" applyNumberFormat="1" applyFont="1"/>
    <xf numFmtId="10" fontId="10" fillId="0" borderId="0" xfId="6" applyNumberFormat="1" applyFont="1" applyAlignment="1"/>
    <xf numFmtId="0" fontId="10" fillId="0" borderId="0" xfId="0" applyFont="1"/>
    <xf numFmtId="44" fontId="9" fillId="0" borderId="0" xfId="0" applyNumberFormat="1" applyFont="1"/>
    <xf numFmtId="43" fontId="9" fillId="0" borderId="0" xfId="5" applyFont="1" applyAlignment="1"/>
    <xf numFmtId="166" fontId="9" fillId="0" borderId="0" xfId="5" applyNumberFormat="1" applyFont="1" applyAlignment="1"/>
    <xf numFmtId="166" fontId="4" fillId="0" borderId="0" xfId="1" applyNumberFormat="1" applyFont="1" applyAlignment="1">
      <alignment horizontal="center"/>
    </xf>
    <xf numFmtId="169" fontId="4" fillId="0" borderId="0" xfId="1" applyNumberFormat="1" applyFont="1"/>
    <xf numFmtId="166" fontId="4" fillId="0" borderId="0" xfId="1" applyNumberFormat="1" applyFont="1" applyFill="1" applyBorder="1"/>
    <xf numFmtId="166" fontId="7" fillId="0" borderId="0" xfId="1" applyNumberFormat="1" applyFont="1" applyFill="1" applyBorder="1"/>
    <xf numFmtId="0" fontId="3" fillId="0" borderId="0" xfId="0" applyFont="1" applyAlignment="1">
      <alignment horizontal="right"/>
    </xf>
    <xf numFmtId="166" fontId="6" fillId="0" borderId="0" xfId="5" applyNumberFormat="1" applyFont="1"/>
    <xf numFmtId="9" fontId="4" fillId="0" borderId="0" xfId="6" applyFont="1"/>
    <xf numFmtId="43" fontId="7" fillId="0" borderId="0" xfId="5" applyFont="1"/>
    <xf numFmtId="43" fontId="4" fillId="0" borderId="0" xfId="5" applyFont="1" applyAlignment="1">
      <alignment horizontal="right"/>
    </xf>
    <xf numFmtId="43" fontId="7" fillId="0" borderId="0" xfId="1" applyFont="1" applyAlignment="1">
      <alignment horizontal="left"/>
    </xf>
    <xf numFmtId="9" fontId="4" fillId="0" borderId="0" xfId="6" applyFont="1" applyAlignment="1">
      <alignment horizontal="right"/>
    </xf>
    <xf numFmtId="166" fontId="4" fillId="0" borderId="6" xfId="1" applyNumberFormat="1" applyFont="1" applyBorder="1"/>
    <xf numFmtId="0" fontId="0" fillId="0" borderId="2" xfId="0" applyBorder="1"/>
    <xf numFmtId="166" fontId="14" fillId="0" borderId="1" xfId="1" applyNumberFormat="1" applyFont="1" applyBorder="1"/>
    <xf numFmtId="0" fontId="12" fillId="0" borderId="0" xfId="0" applyFont="1"/>
    <xf numFmtId="166" fontId="3" fillId="0" borderId="0" xfId="1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43" fontId="3" fillId="0" borderId="0" xfId="1" applyFont="1"/>
    <xf numFmtId="166" fontId="9" fillId="0" borderId="0" xfId="1" applyNumberFormat="1" applyFont="1" applyAlignment="1"/>
    <xf numFmtId="166" fontId="9" fillId="0" borderId="0" xfId="1" applyNumberFormat="1" applyFont="1" applyAlignment="1">
      <alignment vertical="center"/>
    </xf>
    <xf numFmtId="166" fontId="9" fillId="0" borderId="0" xfId="1" applyNumberFormat="1" applyFont="1"/>
    <xf numFmtId="166" fontId="5" fillId="0" borderId="0" xfId="1" applyNumberFormat="1" applyFont="1" applyAlignment="1">
      <alignment horizontal="center" vertical="center"/>
    </xf>
    <xf numFmtId="166" fontId="5" fillId="0" borderId="6" xfId="1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12" fillId="0" borderId="0" xfId="1" applyNumberFormat="1" applyFont="1" applyAlignment="1">
      <alignment vertical="center"/>
    </xf>
    <xf numFmtId="166" fontId="4" fillId="0" borderId="2" xfId="1" applyNumberFormat="1" applyFont="1" applyBorder="1"/>
    <xf numFmtId="166" fontId="4" fillId="0" borderId="0" xfId="1" applyNumberFormat="1" applyFont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6" fontId="14" fillId="0" borderId="0" xfId="0" applyNumberFormat="1" applyFont="1"/>
    <xf numFmtId="43" fontId="14" fillId="0" borderId="0" xfId="1" applyFont="1"/>
    <xf numFmtId="0" fontId="24" fillId="0" borderId="0" xfId="0" applyFont="1"/>
    <xf numFmtId="39" fontId="24" fillId="0" borderId="0" xfId="0" applyNumberFormat="1" applyFont="1"/>
    <xf numFmtId="170" fontId="24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/>
    </xf>
    <xf numFmtId="170" fontId="24" fillId="0" borderId="1" xfId="0" applyNumberFormat="1" applyFont="1" applyBorder="1" applyAlignment="1">
      <alignment horizontal="center"/>
    </xf>
    <xf numFmtId="0" fontId="1" fillId="0" borderId="0" xfId="0" applyFont="1"/>
    <xf numFmtId="166" fontId="23" fillId="0" borderId="0" xfId="5" applyNumberFormat="1" applyFont="1"/>
    <xf numFmtId="166" fontId="23" fillId="0" borderId="4" xfId="5" applyNumberFormat="1" applyFont="1" applyBorder="1"/>
    <xf numFmtId="166" fontId="23" fillId="0" borderId="5" xfId="5" applyNumberFormat="1" applyFont="1" applyBorder="1"/>
    <xf numFmtId="166" fontId="23" fillId="0" borderId="6" xfId="5" applyNumberFormat="1" applyFont="1" applyBorder="1"/>
    <xf numFmtId="3" fontId="26" fillId="0" borderId="0" xfId="0" applyNumberFormat="1" applyFont="1" applyAlignment="1">
      <alignment horizontal="left" vertical="center"/>
    </xf>
    <xf numFmtId="166" fontId="23" fillId="0" borderId="0" xfId="5" applyNumberFormat="1" applyFont="1" applyBorder="1" applyAlignment="1">
      <alignment horizontal="centerContinuous"/>
    </xf>
    <xf numFmtId="166" fontId="23" fillId="0" borderId="0" xfId="5" applyNumberFormat="1" applyFont="1" applyBorder="1"/>
    <xf numFmtId="166" fontId="23" fillId="0" borderId="0" xfId="5" applyNumberFormat="1" applyFont="1" applyBorder="1" applyAlignment="1">
      <alignment horizontal="left"/>
    </xf>
    <xf numFmtId="170" fontId="23" fillId="0" borderId="0" xfId="5" quotePrefix="1" applyNumberFormat="1" applyFont="1" applyBorder="1" applyAlignment="1">
      <alignment horizontal="center"/>
    </xf>
    <xf numFmtId="164" fontId="23" fillId="0" borderId="0" xfId="2" quotePrefix="1" applyNumberFormat="1" applyFont="1" applyBorder="1" applyAlignment="1">
      <alignment horizontal="center"/>
    </xf>
    <xf numFmtId="166" fontId="23" fillId="0" borderId="0" xfId="5" quotePrefix="1" applyNumberFormat="1" applyFont="1" applyBorder="1" applyAlignment="1">
      <alignment horizontal="center"/>
    </xf>
    <xf numFmtId="166" fontId="27" fillId="0" borderId="0" xfId="5" applyNumberFormat="1" applyFont="1" applyBorder="1" applyAlignment="1">
      <alignment horizontal="right"/>
    </xf>
    <xf numFmtId="166" fontId="23" fillId="0" borderId="0" xfId="5" applyNumberFormat="1" applyFont="1" applyBorder="1" applyAlignment="1">
      <alignment horizontal="center"/>
    </xf>
    <xf numFmtId="166" fontId="23" fillId="0" borderId="0" xfId="5" applyNumberFormat="1" applyFont="1" applyAlignment="1">
      <alignment horizontal="center"/>
    </xf>
    <xf numFmtId="166" fontId="23" fillId="0" borderId="1" xfId="5" applyNumberFormat="1" applyFont="1" applyBorder="1"/>
    <xf numFmtId="166" fontId="23" fillId="0" borderId="1" xfId="5" applyNumberFormat="1" applyFont="1" applyBorder="1" applyAlignment="1">
      <alignment horizontal="center"/>
    </xf>
    <xf numFmtId="166" fontId="23" fillId="0" borderId="1" xfId="5" quotePrefix="1" applyNumberFormat="1" applyFont="1" applyBorder="1" applyAlignment="1">
      <alignment horizontal="center"/>
    </xf>
    <xf numFmtId="166" fontId="3" fillId="0" borderId="9" xfId="1" applyNumberFormat="1" applyFont="1" applyBorder="1"/>
    <xf numFmtId="166" fontId="4" fillId="0" borderId="10" xfId="0" applyNumberFormat="1" applyFont="1" applyBorder="1"/>
    <xf numFmtId="0" fontId="0" fillId="0" borderId="1" xfId="0" applyBorder="1"/>
    <xf numFmtId="166" fontId="0" fillId="0" borderId="0" xfId="0" applyNumberFormat="1"/>
    <xf numFmtId="39" fontId="0" fillId="0" borderId="0" xfId="0" applyNumberFormat="1"/>
    <xf numFmtId="39" fontId="4" fillId="0" borderId="0" xfId="0" applyNumberFormat="1" applyFont="1"/>
    <xf numFmtId="168" fontId="4" fillId="0" borderId="1" xfId="0" applyNumberFormat="1" applyFont="1" applyBorder="1"/>
    <xf numFmtId="37" fontId="4" fillId="0" borderId="9" xfId="0" applyNumberFormat="1" applyFont="1" applyBorder="1"/>
    <xf numFmtId="37" fontId="1" fillId="0" borderId="0" xfId="0" applyNumberFormat="1" applyFont="1"/>
    <xf numFmtId="9" fontId="1" fillId="0" borderId="1" xfId="0" applyNumberFormat="1" applyFont="1" applyBorder="1"/>
    <xf numFmtId="37" fontId="1" fillId="0" borderId="0" xfId="0" applyNumberFormat="1" applyFont="1" applyAlignment="1">
      <alignment horizontal="left"/>
    </xf>
    <xf numFmtId="37" fontId="1" fillId="0" borderId="1" xfId="0" applyNumberFormat="1" applyFont="1" applyBorder="1"/>
    <xf numFmtId="42" fontId="1" fillId="0" borderId="9" xfId="0" applyNumberFormat="1" applyFont="1" applyBorder="1"/>
    <xf numFmtId="10" fontId="1" fillId="0" borderId="9" xfId="3" applyNumberFormat="1" applyFont="1" applyBorder="1"/>
    <xf numFmtId="174" fontId="4" fillId="0" borderId="0" xfId="0" applyNumberFormat="1" applyFont="1"/>
    <xf numFmtId="175" fontId="4" fillId="0" borderId="0" xfId="1" applyNumberFormat="1" applyFont="1"/>
    <xf numFmtId="3" fontId="5" fillId="0" borderId="0" xfId="0" applyNumberFormat="1" applyFont="1" applyAlignment="1">
      <alignment horizontal="left" vertical="center"/>
    </xf>
    <xf numFmtId="166" fontId="4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166" fontId="23" fillId="0" borderId="8" xfId="5" applyNumberFormat="1" applyFont="1" applyBorder="1"/>
    <xf numFmtId="3" fontId="9" fillId="0" borderId="1" xfId="0" applyNumberFormat="1" applyFont="1" applyBorder="1"/>
    <xf numFmtId="3" fontId="10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9" fillId="0" borderId="6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164" fontId="9" fillId="0" borderId="6" xfId="0" applyNumberFormat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10" fontId="9" fillId="0" borderId="0" xfId="3" applyNumberFormat="1" applyFont="1" applyAlignment="1">
      <alignment vertical="center"/>
    </xf>
    <xf numFmtId="10" fontId="9" fillId="3" borderId="0" xfId="3" applyNumberFormat="1" applyFont="1" applyFill="1" applyAlignment="1">
      <alignment vertical="center"/>
    </xf>
    <xf numFmtId="164" fontId="9" fillId="3" borderId="0" xfId="2" applyNumberFormat="1" applyFont="1" applyFill="1" applyAlignment="1">
      <alignment vertical="center"/>
    </xf>
    <xf numFmtId="166" fontId="31" fillId="0" borderId="6" xfId="1" applyNumberFormat="1" applyFont="1" applyBorder="1" applyAlignment="1">
      <alignment vertical="center"/>
    </xf>
    <xf numFmtId="166" fontId="9" fillId="3" borderId="0" xfId="1" applyNumberFormat="1" applyFont="1" applyFill="1" applyAlignment="1">
      <alignment vertical="center"/>
    </xf>
    <xf numFmtId="37" fontId="9" fillId="0" borderId="0" xfId="0" applyNumberFormat="1" applyFont="1" applyAlignment="1">
      <alignment vertical="center"/>
    </xf>
    <xf numFmtId="37" fontId="9" fillId="0" borderId="6" xfId="0" applyNumberFormat="1" applyFont="1" applyBorder="1" applyAlignment="1">
      <alignment vertical="center"/>
    </xf>
    <xf numFmtId="166" fontId="31" fillId="3" borderId="0" xfId="1" applyNumberFormat="1" applyFont="1" applyFill="1" applyAlignment="1">
      <alignment vertical="center"/>
    </xf>
    <xf numFmtId="166" fontId="31" fillId="0" borderId="0" xfId="1" applyNumberFormat="1" applyFont="1" applyAlignment="1">
      <alignment vertical="center"/>
    </xf>
    <xf numFmtId="0" fontId="28" fillId="0" borderId="0" xfId="0" applyFont="1" applyAlignment="1">
      <alignment horizontal="center"/>
    </xf>
    <xf numFmtId="166" fontId="32" fillId="0" borderId="0" xfId="1" applyNumberFormat="1" applyFont="1" applyAlignment="1">
      <alignment vertical="center"/>
    </xf>
    <xf numFmtId="3" fontId="28" fillId="0" borderId="0" xfId="0" applyNumberFormat="1" applyFont="1"/>
    <xf numFmtId="166" fontId="1" fillId="0" borderId="0" xfId="5" applyNumberFormat="1" applyFont="1"/>
    <xf numFmtId="166" fontId="9" fillId="0" borderId="0" xfId="1" quotePrefix="1" applyNumberFormat="1" applyFont="1" applyAlignment="1">
      <alignment vertical="center"/>
    </xf>
    <xf numFmtId="166" fontId="9" fillId="0" borderId="6" xfId="1" quotePrefix="1" applyNumberFormat="1" applyFont="1" applyBorder="1" applyAlignment="1">
      <alignment vertical="center"/>
    </xf>
    <xf numFmtId="166" fontId="9" fillId="0" borderId="0" xfId="1" applyNumberFormat="1" applyFont="1" applyAlignment="1">
      <alignment horizontal="right" vertical="center"/>
    </xf>
    <xf numFmtId="164" fontId="9" fillId="0" borderId="6" xfId="2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3" fontId="28" fillId="0" borderId="1" xfId="0" applyNumberFormat="1" applyFont="1" applyBorder="1"/>
    <xf numFmtId="3" fontId="9" fillId="0" borderId="8" xfId="0" applyNumberFormat="1" applyFont="1" applyBorder="1"/>
    <xf numFmtId="42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7" fontId="4" fillId="0" borderId="0" xfId="1" applyNumberFormat="1" applyFont="1" applyBorder="1" applyAlignment="1">
      <alignment vertical="center"/>
    </xf>
    <xf numFmtId="37" fontId="20" fillId="0" borderId="0" xfId="0" applyNumberFormat="1" applyFont="1" applyAlignment="1">
      <alignment horizontal="center" vertical="center"/>
    </xf>
    <xf numFmtId="37" fontId="4" fillId="0" borderId="1" xfId="1" applyNumberFormat="1" applyFont="1" applyBorder="1" applyAlignment="1">
      <alignment vertical="center"/>
    </xf>
    <xf numFmtId="37" fontId="20" fillId="0" borderId="0" xfId="0" applyNumberFormat="1" applyFont="1" applyAlignment="1">
      <alignment horizontal="center"/>
    </xf>
    <xf numFmtId="37" fontId="4" fillId="0" borderId="1" xfId="1" applyNumberFormat="1" applyFont="1" applyBorder="1" applyAlignment="1"/>
    <xf numFmtId="3" fontId="9" fillId="0" borderId="6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vertical="center"/>
    </xf>
    <xf numFmtId="0" fontId="9" fillId="0" borderId="4" xfId="0" applyFont="1" applyBorder="1"/>
    <xf numFmtId="0" fontId="21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" xfId="0" applyFont="1" applyBorder="1"/>
    <xf numFmtId="0" fontId="21" fillId="0" borderId="1" xfId="0" applyFont="1" applyBorder="1"/>
    <xf numFmtId="0" fontId="9" fillId="0" borderId="8" xfId="0" applyFont="1" applyBorder="1"/>
    <xf numFmtId="0" fontId="30" fillId="0" borderId="0" xfId="0" applyFont="1" applyAlignment="1">
      <alignment horizontal="center"/>
    </xf>
    <xf numFmtId="167" fontId="9" fillId="0" borderId="0" xfId="6" applyNumberFormat="1" applyFont="1" applyAlignment="1"/>
    <xf numFmtId="171" fontId="9" fillId="0" borderId="0" xfId="5" applyNumberFormat="1" applyFont="1" applyAlignment="1"/>
    <xf numFmtId="39" fontId="0" fillId="0" borderId="1" xfId="0" applyNumberFormat="1" applyBorder="1"/>
    <xf numFmtId="39" fontId="0" fillId="0" borderId="10" xfId="0" applyNumberForma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3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6" fontId="1" fillId="0" borderId="0" xfId="1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166" fontId="35" fillId="0" borderId="0" xfId="1" applyNumberFormat="1" applyFont="1" applyAlignment="1">
      <alignment vertical="center"/>
    </xf>
    <xf numFmtId="37" fontId="23" fillId="0" borderId="0" xfId="1" applyNumberFormat="1" applyFont="1" applyBorder="1" applyAlignment="1">
      <alignment vertical="center"/>
    </xf>
    <xf numFmtId="37" fontId="23" fillId="0" borderId="0" xfId="0" applyNumberFormat="1" applyFont="1" applyAlignment="1">
      <alignment vertical="center"/>
    </xf>
    <xf numFmtId="37" fontId="23" fillId="0" borderId="1" xfId="1" applyNumberFormat="1" applyFont="1" applyBorder="1" applyAlignment="1">
      <alignment vertical="center"/>
    </xf>
    <xf numFmtId="166" fontId="37" fillId="0" borderId="0" xfId="1" applyNumberFormat="1" applyFont="1" applyAlignment="1">
      <alignment vertical="center"/>
    </xf>
    <xf numFmtId="37" fontId="23" fillId="0" borderId="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166" fontId="1" fillId="0" borderId="0" xfId="1" quotePrefix="1" applyNumberFormat="1" applyFont="1" applyBorder="1" applyAlignment="1">
      <alignment vertical="center"/>
    </xf>
    <xf numFmtId="164" fontId="1" fillId="0" borderId="0" xfId="2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24" fillId="0" borderId="1" xfId="0" applyFont="1" applyBorder="1"/>
    <xf numFmtId="39" fontId="24" fillId="0" borderId="1" xfId="0" applyNumberFormat="1" applyFont="1" applyBorder="1"/>
    <xf numFmtId="0" fontId="24" fillId="0" borderId="2" xfId="0" applyFont="1" applyBorder="1"/>
    <xf numFmtId="0" fontId="24" fillId="0" borderId="7" xfId="0" applyFont="1" applyBorder="1"/>
    <xf numFmtId="0" fontId="0" fillId="0" borderId="6" xfId="0" applyBorder="1"/>
    <xf numFmtId="37" fontId="4" fillId="0" borderId="0" xfId="1" applyNumberFormat="1" applyFont="1" applyBorder="1" applyAlignment="1"/>
    <xf numFmtId="3" fontId="38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0" fontId="24" fillId="0" borderId="3" xfId="0" applyFont="1" applyBorder="1"/>
    <xf numFmtId="0" fontId="24" fillId="0" borderId="5" xfId="0" applyFont="1" applyBorder="1"/>
    <xf numFmtId="0" fontId="24" fillId="0" borderId="6" xfId="0" applyFont="1" applyBorder="1"/>
    <xf numFmtId="0" fontId="0" fillId="0" borderId="4" xfId="0" applyBorder="1"/>
    <xf numFmtId="42" fontId="23" fillId="0" borderId="9" xfId="5" applyNumberFormat="1" applyFont="1" applyBorder="1" applyAlignment="1">
      <alignment horizontal="center"/>
    </xf>
    <xf numFmtId="42" fontId="23" fillId="0" borderId="9" xfId="5" applyNumberFormat="1" applyFont="1" applyBorder="1"/>
    <xf numFmtId="0" fontId="0" fillId="0" borderId="0" xfId="0" applyAlignment="1">
      <alignment horizontal="center"/>
    </xf>
    <xf numFmtId="39" fontId="0" fillId="0" borderId="1" xfId="0" applyNumberForma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39" fontId="9" fillId="0" borderId="0" xfId="0" applyNumberFormat="1" applyFont="1"/>
    <xf numFmtId="166" fontId="1" fillId="0" borderId="1" xfId="1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/>
    </xf>
    <xf numFmtId="39" fontId="44" fillId="0" borderId="0" xfId="0" applyNumberFormat="1" applyFont="1"/>
    <xf numFmtId="43" fontId="44" fillId="0" borderId="0" xfId="1" applyFont="1" applyFill="1"/>
    <xf numFmtId="39" fontId="44" fillId="0" borderId="0" xfId="0" applyNumberFormat="1" applyFont="1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39" fontId="0" fillId="0" borderId="4" xfId="0" applyNumberFormat="1" applyBorder="1"/>
    <xf numFmtId="37" fontId="0" fillId="0" borderId="10" xfId="0" applyNumberFormat="1" applyBorder="1"/>
    <xf numFmtId="173" fontId="0" fillId="0" borderId="0" xfId="0" applyNumberFormat="1"/>
    <xf numFmtId="0" fontId="45" fillId="0" borderId="0" xfId="0" applyFont="1"/>
    <xf numFmtId="37" fontId="45" fillId="0" borderId="0" xfId="0" applyNumberFormat="1" applyFont="1"/>
    <xf numFmtId="44" fontId="45" fillId="0" borderId="0" xfId="0" applyNumberFormat="1" applyFont="1"/>
    <xf numFmtId="39" fontId="45" fillId="0" borderId="1" xfId="0" applyNumberFormat="1" applyFont="1" applyBorder="1"/>
    <xf numFmtId="39" fontId="45" fillId="0" borderId="10" xfId="0" applyNumberFormat="1" applyFont="1" applyBorder="1"/>
    <xf numFmtId="37" fontId="0" fillId="0" borderId="1" xfId="0" applyNumberFormat="1" applyBorder="1"/>
    <xf numFmtId="0" fontId="4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6" xfId="0" applyFont="1" applyBorder="1" applyAlignment="1">
      <alignment horizontal="center"/>
    </xf>
    <xf numFmtId="10" fontId="46" fillId="0" borderId="2" xfId="3" applyNumberFormat="1" applyFont="1" applyBorder="1" applyAlignment="1">
      <alignment horizontal="center"/>
    </xf>
    <xf numFmtId="10" fontId="46" fillId="0" borderId="0" xfId="3" applyNumberFormat="1" applyFont="1" applyBorder="1" applyAlignment="1">
      <alignment horizontal="center"/>
    </xf>
    <xf numFmtId="10" fontId="46" fillId="0" borderId="6" xfId="3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164" fontId="49" fillId="0" borderId="5" xfId="2" applyNumberFormat="1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164" fontId="48" fillId="0" borderId="5" xfId="2" applyNumberFormat="1" applyFont="1" applyBorder="1" applyAlignment="1">
      <alignment horizontal="center"/>
    </xf>
    <xf numFmtId="166" fontId="47" fillId="0" borderId="2" xfId="1" applyNumberFormat="1" applyFont="1" applyBorder="1" applyAlignment="1">
      <alignment horizontal="center"/>
    </xf>
    <xf numFmtId="166" fontId="47" fillId="0" borderId="0" xfId="1" applyNumberFormat="1" applyFont="1" applyBorder="1" applyAlignment="1">
      <alignment horizontal="center"/>
    </xf>
    <xf numFmtId="166" fontId="0" fillId="0" borderId="6" xfId="1" applyNumberFormat="1" applyFont="1" applyBorder="1"/>
    <xf numFmtId="166" fontId="46" fillId="0" borderId="2" xfId="1" applyNumberFormat="1" applyFont="1" applyBorder="1" applyAlignment="1">
      <alignment horizontal="center"/>
    </xf>
    <xf numFmtId="166" fontId="46" fillId="0" borderId="0" xfId="1" applyNumberFormat="1" applyFont="1" applyBorder="1" applyAlignment="1">
      <alignment horizontal="center"/>
    </xf>
    <xf numFmtId="166" fontId="46" fillId="0" borderId="6" xfId="1" applyNumberFormat="1" applyFont="1" applyBorder="1"/>
    <xf numFmtId="0" fontId="46" fillId="0" borderId="2" xfId="0" applyFont="1" applyBorder="1"/>
    <xf numFmtId="0" fontId="46" fillId="0" borderId="0" xfId="0" applyFont="1"/>
    <xf numFmtId="164" fontId="47" fillId="0" borderId="7" xfId="2" applyNumberFormat="1" applyFont="1" applyBorder="1" applyAlignment="1">
      <alignment horizontal="center"/>
    </xf>
    <xf numFmtId="164" fontId="47" fillId="0" borderId="1" xfId="2" applyNumberFormat="1" applyFont="1" applyBorder="1" applyAlignment="1">
      <alignment horizontal="center"/>
    </xf>
    <xf numFmtId="164" fontId="0" fillId="0" borderId="8" xfId="2" applyNumberFormat="1" applyFont="1" applyBorder="1"/>
    <xf numFmtId="164" fontId="46" fillId="0" borderId="7" xfId="2" applyNumberFormat="1" applyFont="1" applyBorder="1" applyAlignment="1">
      <alignment horizontal="center"/>
    </xf>
    <xf numFmtId="164" fontId="46" fillId="0" borderId="1" xfId="2" applyNumberFormat="1" applyFont="1" applyBorder="1" applyAlignment="1">
      <alignment horizontal="center"/>
    </xf>
    <xf numFmtId="43" fontId="50" fillId="0" borderId="0" xfId="1" applyFont="1"/>
    <xf numFmtId="0" fontId="1" fillId="0" borderId="4" xfId="0" applyFont="1" applyBorder="1"/>
    <xf numFmtId="0" fontId="1" fillId="0" borderId="1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166" fontId="1" fillId="0" borderId="0" xfId="1" applyNumberFormat="1" applyFont="1" applyAlignment="1"/>
    <xf numFmtId="3" fontId="1" fillId="0" borderId="6" xfId="0" applyNumberFormat="1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37" fontId="47" fillId="0" borderId="0" xfId="0" applyNumberFormat="1" applyFont="1" applyAlignment="1">
      <alignment horizontal="center" vertical="center"/>
    </xf>
    <xf numFmtId="10" fontId="1" fillId="0" borderId="0" xfId="3" applyNumberFormat="1" applyFont="1" applyAlignment="1">
      <alignment vertical="center"/>
    </xf>
    <xf numFmtId="10" fontId="1" fillId="3" borderId="0" xfId="3" applyNumberFormat="1" applyFont="1" applyFill="1" applyAlignment="1">
      <alignment vertical="center"/>
    </xf>
    <xf numFmtId="164" fontId="1" fillId="3" borderId="0" xfId="2" applyNumberFormat="1" applyFont="1" applyFill="1" applyAlignment="1">
      <alignment vertical="center"/>
    </xf>
    <xf numFmtId="166" fontId="36" fillId="0" borderId="6" xfId="1" applyNumberFormat="1" applyFont="1" applyBorder="1" applyAlignment="1">
      <alignment vertical="center"/>
    </xf>
    <xf numFmtId="166" fontId="1" fillId="3" borderId="0" xfId="1" applyNumberFormat="1" applyFont="1" applyFill="1" applyAlignment="1">
      <alignment vertical="center"/>
    </xf>
    <xf numFmtId="37" fontId="1" fillId="0" borderId="6" xfId="0" applyNumberFormat="1" applyFont="1" applyBorder="1" applyAlignment="1">
      <alignment vertical="center"/>
    </xf>
    <xf numFmtId="166" fontId="36" fillId="3" borderId="0" xfId="1" applyNumberFormat="1" applyFont="1" applyFill="1" applyAlignment="1">
      <alignment vertical="center"/>
    </xf>
    <xf numFmtId="166" fontId="36" fillId="0" borderId="0" xfId="1" applyNumberFormat="1" applyFont="1" applyAlignment="1">
      <alignment vertical="center"/>
    </xf>
    <xf numFmtId="37" fontId="47" fillId="0" borderId="0" xfId="0" applyNumberFormat="1" applyFont="1" applyAlignment="1">
      <alignment horizontal="center"/>
    </xf>
    <xf numFmtId="166" fontId="52" fillId="0" borderId="0" xfId="1" applyNumberFormat="1" applyFont="1" applyAlignment="1">
      <alignment vertical="center"/>
    </xf>
    <xf numFmtId="166" fontId="1" fillId="0" borderId="0" xfId="1" applyNumberFormat="1" applyFont="1"/>
    <xf numFmtId="37" fontId="23" fillId="0" borderId="1" xfId="1" applyNumberFormat="1" applyFont="1" applyBorder="1" applyAlignment="1"/>
    <xf numFmtId="37" fontId="23" fillId="0" borderId="0" xfId="1" applyNumberFormat="1" applyFont="1" applyBorder="1" applyAlignment="1"/>
    <xf numFmtId="37" fontId="1" fillId="0" borderId="0" xfId="0" applyNumberFormat="1" applyFont="1" applyAlignment="1">
      <alignment vertical="center"/>
    </xf>
    <xf numFmtId="166" fontId="1" fillId="0" borderId="6" xfId="1" applyNumberFormat="1" applyFont="1" applyBorder="1"/>
    <xf numFmtId="166" fontId="1" fillId="0" borderId="6" xfId="1" quotePrefix="1" applyNumberFormat="1" applyFont="1" applyBorder="1" applyAlignment="1">
      <alignment vertical="center"/>
    </xf>
    <xf numFmtId="166" fontId="1" fillId="0" borderId="0" xfId="1" applyNumberFormat="1" applyFont="1" applyAlignment="1">
      <alignment horizontal="right" vertical="center"/>
    </xf>
    <xf numFmtId="164" fontId="1" fillId="0" borderId="6" xfId="2" applyNumberFormat="1" applyFont="1" applyBorder="1" applyAlignment="1">
      <alignment vertical="center"/>
    </xf>
    <xf numFmtId="3" fontId="1" fillId="0" borderId="8" xfId="0" applyNumberFormat="1" applyFont="1" applyBorder="1"/>
    <xf numFmtId="0" fontId="54" fillId="0" borderId="0" xfId="0" applyFont="1"/>
    <xf numFmtId="10" fontId="54" fillId="0" borderId="0" xfId="6" applyNumberFormat="1" applyFont="1" applyFill="1" applyBorder="1"/>
    <xf numFmtId="43" fontId="54" fillId="0" borderId="0" xfId="5" applyFont="1" applyFill="1"/>
    <xf numFmtId="44" fontId="54" fillId="0" borderId="0" xfId="0" applyNumberFormat="1" applyFont="1"/>
    <xf numFmtId="43" fontId="54" fillId="0" borderId="1" xfId="0" applyNumberFormat="1" applyFont="1" applyBorder="1"/>
    <xf numFmtId="43" fontId="54" fillId="0" borderId="0" xfId="0" applyNumberFormat="1" applyFont="1"/>
    <xf numFmtId="0" fontId="54" fillId="0" borderId="12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7" fillId="0" borderId="12" xfId="0" applyFont="1" applyBorder="1" applyAlignment="1" applyProtection="1">
      <alignment horizontal="center"/>
      <protection locked="0"/>
    </xf>
    <xf numFmtId="0" fontId="54" fillId="0" borderId="13" xfId="0" applyFont="1" applyBorder="1" applyAlignment="1" applyProtection="1">
      <alignment horizontal="center"/>
      <protection locked="0"/>
    </xf>
    <xf numFmtId="43" fontId="53" fillId="0" borderId="0" xfId="0" applyNumberFormat="1" applyFont="1"/>
    <xf numFmtId="0" fontId="57" fillId="0" borderId="13" xfId="0" applyFont="1" applyBorder="1" applyAlignment="1" applyProtection="1">
      <alignment horizontal="center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center"/>
      <protection locked="0"/>
    </xf>
    <xf numFmtId="43" fontId="0" fillId="0" borderId="0" xfId="0" applyNumberFormat="1"/>
    <xf numFmtId="0" fontId="54" fillId="0" borderId="0" xfId="0" applyFont="1" applyAlignment="1" applyProtection="1">
      <alignment horizontal="left"/>
      <protection locked="0"/>
    </xf>
    <xf numFmtId="43" fontId="53" fillId="0" borderId="1" xfId="0" applyNumberFormat="1" applyFont="1" applyBorder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64" fontId="0" fillId="0" borderId="10" xfId="0" applyNumberFormat="1" applyBorder="1"/>
    <xf numFmtId="2" fontId="0" fillId="0" borderId="0" xfId="0" applyNumberFormat="1"/>
    <xf numFmtId="0" fontId="42" fillId="0" borderId="0" xfId="0" applyFont="1"/>
    <xf numFmtId="0" fontId="42" fillId="0" borderId="0" xfId="0" applyFont="1" applyAlignment="1">
      <alignment horizontal="center"/>
    </xf>
    <xf numFmtId="1" fontId="42" fillId="0" borderId="2" xfId="0" applyNumberFormat="1" applyFont="1" applyBorder="1" applyAlignment="1">
      <alignment horizontal="center"/>
    </xf>
    <xf numFmtId="39" fontId="42" fillId="0" borderId="0" xfId="0" applyNumberFormat="1" applyFont="1"/>
    <xf numFmtId="42" fontId="42" fillId="0" borderId="0" xfId="0" applyNumberFormat="1" applyFont="1"/>
    <xf numFmtId="0" fontId="45" fillId="0" borderId="0" xfId="0" applyFont="1" applyAlignment="1">
      <alignment horizontal="center"/>
    </xf>
    <xf numFmtId="39" fontId="42" fillId="0" borderId="0" xfId="0" applyNumberFormat="1" applyFont="1" applyAlignment="1">
      <alignment horizontal="center"/>
    </xf>
    <xf numFmtId="0" fontId="42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39" fontId="42" fillId="0" borderId="1" xfId="0" applyNumberFormat="1" applyFont="1" applyBorder="1" applyAlignment="1">
      <alignment horizontal="center"/>
    </xf>
    <xf numFmtId="164" fontId="1" fillId="0" borderId="0" xfId="4" applyNumberFormat="1" applyFont="1" applyFill="1"/>
    <xf numFmtId="37" fontId="1" fillId="0" borderId="0" xfId="5" applyNumberFormat="1" applyFont="1"/>
    <xf numFmtId="164" fontId="1" fillId="0" borderId="10" xfId="4" applyNumberFormat="1" applyFont="1" applyBorder="1"/>
    <xf numFmtId="44" fontId="45" fillId="0" borderId="0" xfId="4" applyFont="1" applyBorder="1"/>
    <xf numFmtId="37" fontId="1" fillId="0" borderId="1" xfId="5" applyNumberFormat="1" applyFont="1" applyBorder="1"/>
    <xf numFmtId="1" fontId="42" fillId="0" borderId="7" xfId="0" applyNumberFormat="1" applyFont="1" applyBorder="1" applyAlignment="1">
      <alignment horizontal="center"/>
    </xf>
    <xf numFmtId="0" fontId="42" fillId="0" borderId="1" xfId="0" applyFont="1" applyBorder="1"/>
    <xf numFmtId="39" fontId="42" fillId="0" borderId="1" xfId="0" applyNumberFormat="1" applyFont="1" applyBorder="1"/>
    <xf numFmtId="1" fontId="42" fillId="0" borderId="0" xfId="0" applyNumberFormat="1" applyFont="1" applyAlignment="1">
      <alignment horizontal="center"/>
    </xf>
    <xf numFmtId="10" fontId="54" fillId="0" borderId="0" xfId="3" applyNumberFormat="1" applyFont="1" applyFill="1" applyBorder="1"/>
    <xf numFmtId="10" fontId="55" fillId="0" borderId="0" xfId="3" applyNumberFormat="1" applyFont="1" applyFill="1" applyBorder="1" applyAlignment="1">
      <alignment horizontal="center"/>
    </xf>
    <xf numFmtId="44" fontId="54" fillId="0" borderId="0" xfId="2" applyFont="1" applyFill="1"/>
    <xf numFmtId="43" fontId="54" fillId="0" borderId="0" xfId="1" applyFont="1"/>
    <xf numFmtId="43" fontId="54" fillId="0" borderId="0" xfId="1" applyFont="1" applyFill="1"/>
    <xf numFmtId="43" fontId="54" fillId="0" borderId="1" xfId="1" applyFont="1" applyBorder="1"/>
    <xf numFmtId="44" fontId="54" fillId="0" borderId="0" xfId="2" applyFont="1"/>
    <xf numFmtId="44" fontId="53" fillId="0" borderId="0" xfId="2" applyFont="1"/>
    <xf numFmtId="44" fontId="54" fillId="0" borderId="10" xfId="2" applyFont="1" applyFill="1" applyBorder="1"/>
    <xf numFmtId="44" fontId="54" fillId="0" borderId="0" xfId="2" applyFont="1" applyBorder="1"/>
    <xf numFmtId="44" fontId="53" fillId="0" borderId="0" xfId="2" applyFont="1" applyBorder="1"/>
    <xf numFmtId="43" fontId="54" fillId="0" borderId="0" xfId="1" applyFont="1" applyBorder="1"/>
    <xf numFmtId="44" fontId="54" fillId="2" borderId="10" xfId="2" applyFont="1" applyFill="1" applyBorder="1"/>
    <xf numFmtId="44" fontId="54" fillId="0" borderId="10" xfId="2" applyFont="1" applyBorder="1"/>
    <xf numFmtId="44" fontId="53" fillId="0" borderId="10" xfId="2" applyFont="1" applyBorder="1"/>
    <xf numFmtId="0" fontId="35" fillId="0" borderId="0" xfId="0" applyFont="1"/>
    <xf numFmtId="0" fontId="35" fillId="0" borderId="4" xfId="0" applyFont="1" applyBorder="1"/>
    <xf numFmtId="0" fontId="1" fillId="0" borderId="5" xfId="0" applyFont="1" applyBorder="1"/>
    <xf numFmtId="0" fontId="1" fillId="0" borderId="6" xfId="0" applyFont="1" applyBorder="1"/>
    <xf numFmtId="44" fontId="1" fillId="0" borderId="0" xfId="4" applyFont="1" applyBorder="1" applyAlignment="1"/>
    <xf numFmtId="44" fontId="1" fillId="0" borderId="0" xfId="0" applyNumberFormat="1" applyFont="1"/>
    <xf numFmtId="178" fontId="1" fillId="0" borderId="0" xfId="0" applyNumberFormat="1" applyFont="1"/>
    <xf numFmtId="44" fontId="42" fillId="0" borderId="0" xfId="0" applyNumberFormat="1" applyFont="1"/>
    <xf numFmtId="178" fontId="1" fillId="0" borderId="1" xfId="0" applyNumberFormat="1" applyFont="1" applyBorder="1"/>
    <xf numFmtId="0" fontId="1" fillId="0" borderId="8" xfId="0" applyFont="1" applyBorder="1"/>
    <xf numFmtId="44" fontId="0" fillId="0" borderId="0" xfId="4" applyFont="1" applyBorder="1"/>
    <xf numFmtId="172" fontId="0" fillId="0" borderId="0" xfId="4" applyNumberFormat="1" applyFont="1" applyBorder="1"/>
    <xf numFmtId="43" fontId="54" fillId="0" borderId="1" xfId="5" applyFont="1" applyFill="1" applyBorder="1"/>
    <xf numFmtId="166" fontId="54" fillId="0" borderId="0" xfId="0" applyNumberFormat="1" applyFont="1"/>
    <xf numFmtId="9" fontId="54" fillId="0" borderId="0" xfId="0" applyNumberFormat="1" applyFont="1"/>
    <xf numFmtId="10" fontId="54" fillId="0" borderId="0" xfId="0" applyNumberFormat="1" applyFont="1"/>
    <xf numFmtId="37" fontId="1" fillId="0" borderId="0" xfId="5" applyNumberFormat="1" applyFont="1" applyBorder="1"/>
    <xf numFmtId="166" fontId="54" fillId="0" borderId="13" xfId="5" applyNumberFormat="1" applyFont="1" applyBorder="1" applyAlignment="1" applyProtection="1">
      <alignment horizontal="center"/>
      <protection locked="0"/>
    </xf>
    <xf numFmtId="43" fontId="54" fillId="0" borderId="12" xfId="5" applyFont="1" applyFill="1" applyBorder="1" applyAlignment="1" applyProtection="1">
      <protection locked="0"/>
    </xf>
    <xf numFmtId="43" fontId="54" fillId="0" borderId="13" xfId="5" applyFont="1" applyFill="1" applyBorder="1" applyAlignment="1" applyProtection="1">
      <protection locked="0"/>
    </xf>
    <xf numFmtId="166" fontId="54" fillId="0" borderId="14" xfId="5" applyNumberFormat="1" applyFont="1" applyBorder="1" applyAlignment="1" applyProtection="1">
      <alignment horizontal="center"/>
      <protection locked="0"/>
    </xf>
    <xf numFmtId="43" fontId="54" fillId="0" borderId="14" xfId="5" applyFont="1" applyFill="1" applyBorder="1" applyAlignment="1" applyProtection="1">
      <protection locked="0"/>
    </xf>
    <xf numFmtId="166" fontId="54" fillId="0" borderId="0" xfId="5" applyNumberFormat="1" applyFont="1" applyFill="1" applyBorder="1" applyAlignment="1" applyProtection="1">
      <alignment horizontal="center"/>
      <protection locked="0"/>
    </xf>
    <xf numFmtId="166" fontId="54" fillId="0" borderId="1" xfId="0" applyNumberFormat="1" applyFont="1" applyBorder="1"/>
    <xf numFmtId="167" fontId="54" fillId="0" borderId="0" xfId="6" applyNumberFormat="1" applyFont="1" applyFill="1" applyBorder="1"/>
    <xf numFmtId="10" fontId="54" fillId="0" borderId="0" xfId="0" applyNumberFormat="1" applyFont="1" applyAlignment="1">
      <alignment horizontal="left"/>
    </xf>
    <xf numFmtId="44" fontId="54" fillId="0" borderId="0" xfId="4" applyFont="1" applyFill="1" applyAlignment="1">
      <alignment horizontal="center"/>
    </xf>
    <xf numFmtId="44" fontId="58" fillId="0" borderId="0" xfId="0" applyNumberFormat="1" applyFont="1"/>
    <xf numFmtId="39" fontId="42" fillId="0" borderId="8" xfId="0" applyNumberFormat="1" applyFont="1" applyBorder="1"/>
    <xf numFmtId="39" fontId="42" fillId="0" borderId="6" xfId="0" applyNumberFormat="1" applyFont="1" applyBorder="1"/>
    <xf numFmtId="42" fontId="42" fillId="0" borderId="6" xfId="0" applyNumberFormat="1" applyFont="1" applyBorder="1"/>
    <xf numFmtId="177" fontId="4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24" fillId="0" borderId="0" xfId="0" applyNumberFormat="1" applyFont="1"/>
    <xf numFmtId="1" fontId="24" fillId="0" borderId="0" xfId="0" applyNumberFormat="1" applyFont="1"/>
    <xf numFmtId="1" fontId="24" fillId="0" borderId="0" xfId="0" applyNumberFormat="1" applyFont="1" applyAlignment="1">
      <alignment horizontal="center"/>
    </xf>
    <xf numFmtId="39" fontId="24" fillId="0" borderId="0" xfId="0" applyNumberFormat="1" applyFont="1" applyAlignment="1">
      <alignment horizontal="center"/>
    </xf>
    <xf numFmtId="1" fontId="24" fillId="0" borderId="1" xfId="0" applyNumberFormat="1" applyFont="1" applyBorder="1" applyAlignment="1">
      <alignment horizontal="center"/>
    </xf>
    <xf numFmtId="39" fontId="24" fillId="0" borderId="1" xfId="0" applyNumberFormat="1" applyFont="1" applyBorder="1" applyAlignment="1">
      <alignment horizontal="center"/>
    </xf>
    <xf numFmtId="179" fontId="24" fillId="0" borderId="1" xfId="0" applyNumberFormat="1" applyFont="1" applyBorder="1" applyAlignment="1">
      <alignment horizontal="center"/>
    </xf>
    <xf numFmtId="179" fontId="24" fillId="0" borderId="0" xfId="0" applyNumberFormat="1" applyFont="1" applyAlignment="1">
      <alignment horizontal="center"/>
    </xf>
    <xf numFmtId="42" fontId="24" fillId="0" borderId="0" xfId="0" applyNumberFormat="1" applyFont="1"/>
    <xf numFmtId="41" fontId="24" fillId="0" borderId="0" xfId="0" applyNumberFormat="1" applyFont="1"/>
    <xf numFmtId="180" fontId="24" fillId="0" borderId="0" xfId="0" applyNumberFormat="1" applyFont="1" applyAlignment="1">
      <alignment horizontal="center"/>
    </xf>
    <xf numFmtId="44" fontId="24" fillId="0" borderId="10" xfId="0" applyNumberFormat="1" applyFont="1" applyBorder="1"/>
    <xf numFmtId="44" fontId="24" fillId="0" borderId="0" xfId="0" applyNumberFormat="1" applyFont="1"/>
    <xf numFmtId="0" fontId="24" fillId="0" borderId="8" xfId="0" applyFont="1" applyBorder="1"/>
    <xf numFmtId="0" fontId="61" fillId="0" borderId="0" xfId="0" applyFont="1"/>
    <xf numFmtId="1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39" fontId="24" fillId="2" borderId="11" xfId="0" applyNumberFormat="1" applyFont="1" applyFill="1" applyBorder="1"/>
    <xf numFmtId="39" fontId="24" fillId="0" borderId="10" xfId="0" applyNumberFormat="1" applyFont="1" applyBorder="1"/>
    <xf numFmtId="39" fontId="62" fillId="0" borderId="0" xfId="0" applyNumberFormat="1" applyFont="1"/>
    <xf numFmtId="0" fontId="63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/>
    <xf numFmtId="43" fontId="64" fillId="0" borderId="0" xfId="1" applyFont="1" applyFill="1"/>
    <xf numFmtId="14" fontId="63" fillId="0" borderId="0" xfId="0" applyNumberFormat="1" applyFont="1" applyAlignment="1">
      <alignment horizontal="center"/>
    </xf>
    <xf numFmtId="14" fontId="63" fillId="2" borderId="0" xfId="0" applyNumberFormat="1" applyFont="1" applyFill="1" applyAlignment="1">
      <alignment horizontal="center"/>
    </xf>
    <xf numFmtId="9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39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4" fontId="64" fillId="0" borderId="0" xfId="0" applyNumberFormat="1" applyFont="1" applyAlignment="1">
      <alignment horizontal="center"/>
    </xf>
    <xf numFmtId="43" fontId="63" fillId="0" borderId="0" xfId="1" applyFont="1" applyFill="1"/>
    <xf numFmtId="43" fontId="64" fillId="0" borderId="0" xfId="1" applyFont="1"/>
    <xf numFmtId="43" fontId="64" fillId="0" borderId="0" xfId="1" applyFont="1" applyAlignment="1">
      <alignment horizontal="center"/>
    </xf>
    <xf numFmtId="43" fontId="67" fillId="0" borderId="0" xfId="1" applyFont="1" applyFill="1" applyBorder="1" applyAlignment="1">
      <alignment horizontal="left"/>
    </xf>
    <xf numFmtId="43" fontId="63" fillId="0" borderId="1" xfId="1" applyFont="1" applyFill="1" applyBorder="1"/>
    <xf numFmtId="43" fontId="64" fillId="0" borderId="1" xfId="1" applyFont="1" applyFill="1" applyBorder="1"/>
    <xf numFmtId="0" fontId="64" fillId="0" borderId="0" xfId="0" applyFont="1" applyAlignment="1">
      <alignment horizontal="right"/>
    </xf>
    <xf numFmtId="44" fontId="64" fillId="0" borderId="0" xfId="2" applyFont="1" applyFill="1"/>
    <xf numFmtId="0" fontId="63" fillId="0" borderId="0" xfId="0" applyFont="1"/>
    <xf numFmtId="0" fontId="66" fillId="0" borderId="0" xfId="0" applyFont="1" applyAlignment="1">
      <alignment horizontal="left"/>
    </xf>
    <xf numFmtId="14" fontId="64" fillId="0" borderId="0" xfId="0" applyNumberFormat="1" applyFont="1" applyAlignment="1">
      <alignment horizontal="center"/>
    </xf>
    <xf numFmtId="43" fontId="63" fillId="0" borderId="0" xfId="1" applyFont="1" applyFill="1" applyAlignment="1"/>
    <xf numFmtId="43" fontId="63" fillId="0" borderId="1" xfId="1" applyFont="1" applyFill="1" applyBorder="1" applyAlignment="1"/>
    <xf numFmtId="0" fontId="65" fillId="0" borderId="0" xfId="0" applyFont="1"/>
    <xf numFmtId="43" fontId="63" fillId="0" borderId="10" xfId="1" applyFont="1" applyFill="1" applyBorder="1"/>
    <xf numFmtId="43" fontId="64" fillId="0" borderId="10" xfId="1" applyFont="1" applyFill="1" applyBorder="1"/>
    <xf numFmtId="43" fontId="64" fillId="2" borderId="10" xfId="1" applyFont="1" applyFill="1" applyBorder="1"/>
    <xf numFmtId="43" fontId="63" fillId="2" borderId="10" xfId="1" applyFont="1" applyFill="1" applyBorder="1"/>
    <xf numFmtId="10" fontId="0" fillId="0" borderId="1" xfId="6" applyNumberFormat="1" applyFont="1" applyBorder="1"/>
    <xf numFmtId="166" fontId="68" fillId="0" borderId="0" xfId="5" applyNumberFormat="1" applyFont="1" applyAlignment="1">
      <alignment vertical="center"/>
    </xf>
    <xf numFmtId="166" fontId="68" fillId="0" borderId="0" xfId="5" applyNumberFormat="1" applyFont="1" applyFill="1" applyAlignment="1">
      <alignment vertical="center"/>
    </xf>
    <xf numFmtId="43" fontId="0" fillId="0" borderId="0" xfId="5" applyFont="1"/>
    <xf numFmtId="0" fontId="69" fillId="0" borderId="13" xfId="0" applyFont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9" fontId="53" fillId="0" borderId="1" xfId="0" applyNumberFormat="1" applyFont="1" applyBorder="1" applyAlignment="1" applyProtection="1">
      <alignment horizontal="center"/>
      <protection locked="0"/>
    </xf>
    <xf numFmtId="43" fontId="0" fillId="0" borderId="11" xfId="5" applyFont="1" applyBorder="1" applyAlignment="1">
      <alignment horizontal="center"/>
    </xf>
    <xf numFmtId="43" fontId="0" fillId="0" borderId="1" xfId="5" applyFont="1" applyBorder="1"/>
    <xf numFmtId="0" fontId="69" fillId="0" borderId="12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/>
      <protection locked="0"/>
    </xf>
    <xf numFmtId="44" fontId="54" fillId="2" borderId="9" xfId="0" applyNumberFormat="1" applyFont="1" applyFill="1" applyBorder="1"/>
    <xf numFmtId="10" fontId="54" fillId="0" borderId="1" xfId="6" applyNumberFormat="1" applyFont="1" applyBorder="1"/>
    <xf numFmtId="164" fontId="54" fillId="2" borderId="9" xfId="0" applyNumberFormat="1" applyFont="1" applyFill="1" applyBorder="1"/>
    <xf numFmtId="167" fontId="54" fillId="2" borderId="10" xfId="6" applyNumberFormat="1" applyFont="1" applyFill="1" applyBorder="1"/>
    <xf numFmtId="9" fontId="1" fillId="0" borderId="0" xfId="0" applyNumberFormat="1" applyFont="1"/>
    <xf numFmtId="39" fontId="44" fillId="0" borderId="1" xfId="0" applyNumberFormat="1" applyFont="1" applyBorder="1" applyAlignment="1">
      <alignment horizontal="center"/>
    </xf>
    <xf numFmtId="39" fontId="44" fillId="0" borderId="11" xfId="0" applyNumberFormat="1" applyFont="1" applyBorder="1" applyAlignment="1">
      <alignment horizontal="center"/>
    </xf>
    <xf numFmtId="43" fontId="43" fillId="0" borderId="0" xfId="5" applyFont="1" applyFill="1" applyBorder="1"/>
    <xf numFmtId="39" fontId="71" fillId="0" borderId="0" xfId="0" applyNumberFormat="1" applyFont="1"/>
    <xf numFmtId="166" fontId="4" fillId="0" borderId="0" xfId="5" applyNumberFormat="1" applyFont="1" applyAlignment="1">
      <alignment horizontal="center"/>
    </xf>
    <xf numFmtId="166" fontId="7" fillId="0" borderId="0" xfId="5" applyNumberFormat="1" applyFont="1" applyAlignment="1">
      <alignment horizontal="center"/>
    </xf>
    <xf numFmtId="166" fontId="7" fillId="0" borderId="0" xfId="5" applyNumberFormat="1" applyFont="1" applyBorder="1"/>
    <xf numFmtId="166" fontId="4" fillId="0" borderId="0" xfId="5" applyNumberFormat="1" applyFont="1" applyBorder="1"/>
    <xf numFmtId="181" fontId="4" fillId="0" borderId="0" xfId="5" applyNumberFormat="1" applyFont="1"/>
    <xf numFmtId="166" fontId="4" fillId="0" borderId="0" xfId="5" applyNumberFormat="1" applyFont="1" applyAlignment="1">
      <alignment horizontal="left"/>
    </xf>
    <xf numFmtId="0" fontId="34" fillId="0" borderId="0" xfId="0" applyFont="1"/>
    <xf numFmtId="0" fontId="72" fillId="0" borderId="0" xfId="0" applyFont="1" applyAlignment="1">
      <alignment horizontal="center"/>
    </xf>
    <xf numFmtId="166" fontId="1" fillId="0" borderId="0" xfId="0" applyNumberFormat="1" applyFont="1" applyAlignment="1">
      <alignment horizontal="left" vertical="center"/>
    </xf>
    <xf numFmtId="10" fontId="0" fillId="0" borderId="0" xfId="6" applyNumberFormat="1" applyFont="1" applyBorder="1" applyAlignment="1">
      <alignment horizontal="center"/>
    </xf>
    <xf numFmtId="10" fontId="1" fillId="0" borderId="1" xfId="6" applyNumberFormat="1" applyFont="1" applyBorder="1" applyAlignment="1">
      <alignment horizontal="center"/>
    </xf>
    <xf numFmtId="37" fontId="51" fillId="0" borderId="0" xfId="0" applyNumberFormat="1" applyFont="1"/>
    <xf numFmtId="167" fontId="0" fillId="0" borderId="0" xfId="6" applyNumberFormat="1" applyFont="1" applyBorder="1"/>
    <xf numFmtId="166" fontId="4" fillId="0" borderId="1" xfId="5" applyNumberFormat="1" applyFont="1" applyBorder="1" applyAlignment="1">
      <alignment horizontal="center"/>
    </xf>
    <xf numFmtId="168" fontId="4" fillId="0" borderId="1" xfId="6" applyNumberFormat="1" applyFont="1" applyBorder="1" applyAlignment="1">
      <alignment horizontal="center"/>
    </xf>
    <xf numFmtId="181" fontId="4" fillId="0" borderId="1" xfId="5" applyNumberFormat="1" applyFont="1" applyBorder="1"/>
    <xf numFmtId="166" fontId="4" fillId="0" borderId="10" xfId="5" applyNumberFormat="1" applyFont="1" applyBorder="1"/>
    <xf numFmtId="39" fontId="0" fillId="0" borderId="0" xfId="0" applyNumberFormat="1" applyAlignment="1">
      <alignment horizontal="center"/>
    </xf>
    <xf numFmtId="39" fontId="45" fillId="0" borderId="0" xfId="0" applyNumberFormat="1" applyFont="1"/>
    <xf numFmtId="39" fontId="4" fillId="0" borderId="6" xfId="0" applyNumberFormat="1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1" xfId="0" applyFont="1" applyBorder="1"/>
    <xf numFmtId="39" fontId="4" fillId="0" borderId="8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/>
    <xf numFmtId="167" fontId="0" fillId="0" borderId="1" xfId="6" applyNumberFormat="1" applyFont="1" applyBorder="1"/>
    <xf numFmtId="3" fontId="5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51" fillId="0" borderId="6" xfId="0" applyNumberFormat="1" applyFont="1" applyBorder="1" applyAlignment="1">
      <alignment horizontal="center" vertical="center"/>
    </xf>
    <xf numFmtId="166" fontId="73" fillId="0" borderId="0" xfId="1" applyNumberFormat="1" applyFont="1" applyAlignment="1">
      <alignment vertical="center"/>
    </xf>
    <xf numFmtId="39" fontId="24" fillId="0" borderId="11" xfId="0" applyNumberFormat="1" applyFont="1" applyBorder="1"/>
    <xf numFmtId="39" fontId="62" fillId="0" borderId="1" xfId="0" applyNumberFormat="1" applyFont="1" applyBorder="1"/>
    <xf numFmtId="37" fontId="1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1" xfId="0" applyFont="1" applyBorder="1"/>
    <xf numFmtId="9" fontId="9" fillId="0" borderId="0" xfId="0" applyNumberFormat="1" applyFont="1"/>
    <xf numFmtId="10" fontId="9" fillId="0" borderId="0" xfId="3" applyNumberFormat="1" applyFont="1"/>
    <xf numFmtId="167" fontId="9" fillId="0" borderId="0" xfId="0" applyNumberFormat="1" applyFont="1"/>
    <xf numFmtId="42" fontId="0" fillId="0" borderId="0" xfId="0" applyNumberFormat="1"/>
    <xf numFmtId="42" fontId="0" fillId="0" borderId="10" xfId="0" applyNumberFormat="1" applyBorder="1"/>
    <xf numFmtId="167" fontId="1" fillId="0" borderId="6" xfId="6" applyNumberFormat="1" applyFont="1" applyBorder="1" applyAlignment="1"/>
    <xf numFmtId="44" fontId="1" fillId="0" borderId="0" xfId="4" applyFont="1" applyBorder="1"/>
    <xf numFmtId="172" fontId="1" fillId="0" borderId="0" xfId="4" applyNumberFormat="1" applyFont="1" applyBorder="1"/>
    <xf numFmtId="166" fontId="1" fillId="0" borderId="0" xfId="5" applyNumberFormat="1" applyFont="1" applyBorder="1" applyAlignment="1"/>
    <xf numFmtId="166" fontId="1" fillId="0" borderId="0" xfId="0" applyNumberFormat="1" applyFont="1"/>
    <xf numFmtId="9" fontId="1" fillId="0" borderId="0" xfId="6" applyFont="1"/>
    <xf numFmtId="182" fontId="1" fillId="0" borderId="0" xfId="4" applyNumberFormat="1" applyFont="1" applyBorder="1"/>
    <xf numFmtId="167" fontId="1" fillId="0" borderId="0" xfId="6" applyNumberFormat="1" applyFont="1"/>
    <xf numFmtId="167" fontId="1" fillId="0" borderId="1" xfId="0" applyNumberFormat="1" applyFont="1" applyBorder="1"/>
    <xf numFmtId="0" fontId="34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167" fontId="1" fillId="0" borderId="0" xfId="3" applyNumberFormat="1" applyFont="1" applyBorder="1"/>
    <xf numFmtId="167" fontId="1" fillId="0" borderId="0" xfId="0" applyNumberFormat="1" applyFont="1"/>
    <xf numFmtId="0" fontId="34" fillId="0" borderId="4" xfId="0" applyFont="1" applyBorder="1" applyAlignment="1">
      <alignment horizontal="center"/>
    </xf>
    <xf numFmtId="167" fontId="1" fillId="0" borderId="6" xfId="3" applyNumberFormat="1" applyFont="1" applyBorder="1"/>
    <xf numFmtId="0" fontId="33" fillId="0" borderId="0" xfId="0" applyFont="1"/>
    <xf numFmtId="167" fontId="33" fillId="0" borderId="8" xfId="0" applyNumberFormat="1" applyFont="1" applyBorder="1" applyAlignment="1">
      <alignment horizontal="center"/>
    </xf>
    <xf numFmtId="0" fontId="34" fillId="0" borderId="4" xfId="0" applyFont="1" applyBorder="1"/>
    <xf numFmtId="43" fontId="0" fillId="0" borderId="0" xfId="5" applyFont="1" applyBorder="1"/>
    <xf numFmtId="37" fontId="39" fillId="0" borderId="0" xfId="0" applyNumberFormat="1" applyFont="1" applyAlignment="1">
      <alignment horizontal="center"/>
    </xf>
    <xf numFmtId="44" fontId="39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0" applyNumberFormat="1"/>
    <xf numFmtId="178" fontId="0" fillId="0" borderId="0" xfId="0" applyNumberFormat="1"/>
    <xf numFmtId="167" fontId="1" fillId="0" borderId="1" xfId="3" applyNumberFormat="1" applyFont="1" applyBorder="1"/>
    <xf numFmtId="0" fontId="30" fillId="0" borderId="0" xfId="0" applyFont="1"/>
    <xf numFmtId="173" fontId="1" fillId="0" borderId="0" xfId="0" applyNumberFormat="1" applyFont="1"/>
    <xf numFmtId="173" fontId="1" fillId="0" borderId="0" xfId="4" applyNumberFormat="1" applyFont="1" applyBorder="1"/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1" xfId="0" applyNumberFormat="1" applyFont="1" applyBorder="1"/>
    <xf numFmtId="172" fontId="1" fillId="0" borderId="1" xfId="4" applyNumberFormat="1" applyFont="1" applyBorder="1"/>
    <xf numFmtId="44" fontId="1" fillId="0" borderId="1" xfId="4" applyFont="1" applyBorder="1"/>
    <xf numFmtId="0" fontId="51" fillId="0" borderId="4" xfId="0" applyFont="1" applyBorder="1" applyAlignment="1">
      <alignment horizontal="center"/>
    </xf>
    <xf numFmtId="44" fontId="42" fillId="0" borderId="1" xfId="0" applyNumberFormat="1" applyFont="1" applyBorder="1"/>
    <xf numFmtId="10" fontId="1" fillId="0" borderId="0" xfId="6" applyNumberFormat="1" applyFont="1" applyBorder="1" applyAlignment="1">
      <alignment horizontal="center"/>
    </xf>
    <xf numFmtId="10" fontId="1" fillId="0" borderId="0" xfId="0" applyNumberFormat="1" applyFont="1"/>
    <xf numFmtId="10" fontId="1" fillId="0" borderId="0" xfId="4" applyNumberFormat="1" applyFont="1" applyBorder="1"/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43" fontId="1" fillId="0" borderId="0" xfId="0" applyNumberFormat="1" applyFont="1"/>
    <xf numFmtId="10" fontId="1" fillId="0" borderId="4" xfId="6" applyNumberFormat="1" applyFont="1" applyBorder="1" applyAlignment="1">
      <alignment horizontal="center"/>
    </xf>
    <xf numFmtId="0" fontId="51" fillId="0" borderId="0" xfId="0" applyFont="1"/>
    <xf numFmtId="37" fontId="60" fillId="0" borderId="0" xfId="0" applyNumberFormat="1" applyFont="1"/>
    <xf numFmtId="0" fontId="51" fillId="0" borderId="0" xfId="0" applyFont="1" applyAlignment="1">
      <alignment horizontal="center"/>
    </xf>
    <xf numFmtId="10" fontId="1" fillId="0" borderId="0" xfId="3" applyNumberFormat="1" applyFont="1"/>
    <xf numFmtId="10" fontId="0" fillId="0" borderId="0" xfId="6" applyNumberFormat="1" applyFont="1" applyBorder="1"/>
    <xf numFmtId="10" fontId="0" fillId="0" borderId="0" xfId="0" applyNumberFormat="1"/>
    <xf numFmtId="10" fontId="0" fillId="0" borderId="1" xfId="0" applyNumberFormat="1" applyBorder="1"/>
    <xf numFmtId="10" fontId="1" fillId="0" borderId="0" xfId="3" applyNumberFormat="1" applyFont="1" applyBorder="1"/>
    <xf numFmtId="39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43" fontId="36" fillId="0" borderId="0" xfId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43" fontId="22" fillId="0" borderId="0" xfId="1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Alignment="1">
      <alignment horizontal="center"/>
    </xf>
    <xf numFmtId="0" fontId="63" fillId="0" borderId="1" xfId="0" applyFont="1" applyBorder="1" applyAlignment="1">
      <alignment horizontal="center"/>
    </xf>
    <xf numFmtId="39" fontId="44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10" fontId="53" fillId="0" borderId="1" xfId="3" applyNumberFormat="1" applyFont="1" applyFill="1" applyBorder="1" applyAlignment="1">
      <alignment horizontal="center"/>
    </xf>
    <xf numFmtId="43" fontId="0" fillId="0" borderId="1" xfId="5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6" xfId="0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0" fillId="0" borderId="4" xfId="0" applyNumberFormat="1" applyFont="1" applyBorder="1" applyAlignment="1">
      <alignment horizontal="center"/>
    </xf>
    <xf numFmtId="166" fontId="23" fillId="0" borderId="1" xfId="5" applyNumberFormat="1" applyFont="1" applyBorder="1" applyAlignment="1">
      <alignment horizontal="center"/>
    </xf>
    <xf numFmtId="166" fontId="25" fillId="0" borderId="0" xfId="5" applyNumberFormat="1" applyFont="1" applyBorder="1" applyAlignment="1">
      <alignment horizontal="center"/>
    </xf>
    <xf numFmtId="166" fontId="60" fillId="0" borderId="0" xfId="5" applyNumberFormat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6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6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46" fillId="0" borderId="2" xfId="3" applyNumberFormat="1" applyFont="1" applyBorder="1" applyAlignment="1">
      <alignment horizontal="center"/>
    </xf>
    <xf numFmtId="10" fontId="46" fillId="0" borderId="0" xfId="3" applyNumberFormat="1" applyFont="1" applyBorder="1" applyAlignment="1">
      <alignment horizontal="center"/>
    </xf>
    <xf numFmtId="10" fontId="46" fillId="0" borderId="6" xfId="3" applyNumberFormat="1" applyFont="1" applyBorder="1" applyAlignment="1">
      <alignment horizontal="center"/>
    </xf>
    <xf numFmtId="10" fontId="47" fillId="0" borderId="2" xfId="3" applyNumberFormat="1" applyFont="1" applyBorder="1" applyAlignment="1">
      <alignment horizontal="center"/>
    </xf>
    <xf numFmtId="10" fontId="47" fillId="0" borderId="0" xfId="3" applyNumberFormat="1" applyFont="1" applyBorder="1" applyAlignment="1">
      <alignment horizontal="center"/>
    </xf>
    <xf numFmtId="10" fontId="47" fillId="0" borderId="6" xfId="3" applyNumberFormat="1" applyFont="1" applyBorder="1" applyAlignment="1">
      <alignment horizontal="center"/>
    </xf>
    <xf numFmtId="176" fontId="46" fillId="0" borderId="7" xfId="2" applyNumberFormat="1" applyFont="1" applyFill="1" applyBorder="1" applyAlignment="1">
      <alignment horizontal="center"/>
    </xf>
    <xf numFmtId="176" fontId="46" fillId="0" borderId="1" xfId="2" applyNumberFormat="1" applyFont="1" applyFill="1" applyBorder="1" applyAlignment="1">
      <alignment horizontal="center"/>
    </xf>
    <xf numFmtId="176" fontId="46" fillId="0" borderId="8" xfId="2" applyNumberFormat="1" applyFont="1" applyFill="1" applyBorder="1" applyAlignment="1">
      <alignment horizontal="center"/>
    </xf>
    <xf numFmtId="176" fontId="47" fillId="0" borderId="7" xfId="2" applyNumberFormat="1" applyFont="1" applyBorder="1" applyAlignment="1">
      <alignment horizontal="center"/>
    </xf>
    <xf numFmtId="176" fontId="47" fillId="0" borderId="1" xfId="2" applyNumberFormat="1" applyFont="1" applyBorder="1" applyAlignment="1">
      <alignment horizontal="center"/>
    </xf>
    <xf numFmtId="176" fontId="47" fillId="0" borderId="8" xfId="2" applyNumberFormat="1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39" fontId="0" fillId="0" borderId="1" xfId="0" applyNumberForma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6" xfId="0" applyFont="1" applyBorder="1" applyAlignment="1">
      <alignment horizontal="center"/>
    </xf>
    <xf numFmtId="3" fontId="59" fillId="0" borderId="0" xfId="0" applyNumberFormat="1" applyFont="1" applyAlignment="1">
      <alignment horizontal="center" vertical="center"/>
    </xf>
    <xf numFmtId="3" fontId="59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37" fontId="60" fillId="0" borderId="4" xfId="0" applyNumberFormat="1" applyFont="1" applyBorder="1" applyAlignment="1">
      <alignment horizontal="center"/>
    </xf>
    <xf numFmtId="37" fontId="60" fillId="0" borderId="0" xfId="0" applyNumberFormat="1" applyFont="1" applyAlignment="1">
      <alignment horizontal="center"/>
    </xf>
    <xf numFmtId="37" fontId="1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1" fillId="0" borderId="1" xfId="4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X59"/>
  <sheetViews>
    <sheetView showGridLines="0" zoomScale="136" zoomScaleNormal="136" workbookViewId="0">
      <selection activeCell="B2" sqref="B2:M59"/>
    </sheetView>
  </sheetViews>
  <sheetFormatPr defaultColWidth="8.88671875" defaultRowHeight="15" x14ac:dyDescent="0.4"/>
  <cols>
    <col min="1" max="1" width="3.5546875" style="116" customWidth="1"/>
    <col min="2" max="2" width="1.77734375" style="116" customWidth="1"/>
    <col min="3" max="3" width="3.6640625" style="216" customWidth="1"/>
    <col min="4" max="4" width="2.6640625" style="216" customWidth="1"/>
    <col min="5" max="5" width="27.33203125" style="216" customWidth="1"/>
    <col min="6" max="6" width="13.77734375" style="216" customWidth="1"/>
    <col min="7" max="7" width="1.77734375" style="216" customWidth="1"/>
    <col min="8" max="8" width="13.77734375" style="216" customWidth="1"/>
    <col min="9" max="9" width="1.77734375" style="216" customWidth="1"/>
    <col min="10" max="10" width="4.88671875" style="215" customWidth="1"/>
    <col min="11" max="11" width="1.77734375" style="215" customWidth="1"/>
    <col min="12" max="12" width="13.77734375" style="216" customWidth="1"/>
    <col min="13" max="13" width="1.5546875" style="216" customWidth="1"/>
    <col min="14" max="14" width="9.6640625" style="216" customWidth="1"/>
    <col min="15" max="15" width="9.6640625" style="313" customWidth="1"/>
    <col min="16" max="16" width="18" style="216" customWidth="1"/>
    <col min="17" max="17" width="8.21875" style="216" customWidth="1"/>
    <col min="18" max="258" width="9.6640625" style="216" customWidth="1"/>
    <col min="259" max="260" width="9.6640625" style="116" customWidth="1"/>
    <col min="261" max="16384" width="8.88671875" style="116"/>
  </cols>
  <sheetData>
    <row r="2" spans="2:22" ht="6.95" customHeight="1" x14ac:dyDescent="0.4">
      <c r="B2" s="152"/>
      <c r="C2" s="311"/>
      <c r="D2" s="311"/>
      <c r="E2" s="311"/>
      <c r="F2" s="311"/>
      <c r="G2" s="311"/>
      <c r="H2" s="311"/>
      <c r="I2" s="311"/>
      <c r="J2" s="263"/>
      <c r="K2" s="263"/>
      <c r="L2" s="311"/>
      <c r="M2" s="312"/>
    </row>
    <row r="3" spans="2:22" x14ac:dyDescent="0.4">
      <c r="B3" s="153"/>
      <c r="C3" s="602" t="s">
        <v>21</v>
      </c>
      <c r="D3" s="602"/>
      <c r="E3" s="602"/>
      <c r="F3" s="602"/>
      <c r="G3" s="602"/>
      <c r="H3" s="602"/>
      <c r="I3" s="602"/>
      <c r="J3" s="602"/>
      <c r="K3" s="602"/>
      <c r="L3" s="602"/>
      <c r="M3" s="314"/>
      <c r="N3" s="218"/>
      <c r="O3" s="219">
        <v>2176809.4034000002</v>
      </c>
      <c r="P3" s="218"/>
      <c r="Q3" s="218"/>
      <c r="R3" s="218"/>
      <c r="S3" s="218"/>
    </row>
    <row r="4" spans="2:22" ht="18.75" customHeight="1" x14ac:dyDescent="0.4">
      <c r="B4" s="153"/>
      <c r="C4" s="601" t="str">
        <f>Adj!B1</f>
        <v>Butler County Water System, Inc.</v>
      </c>
      <c r="D4" s="601"/>
      <c r="E4" s="601"/>
      <c r="F4" s="601"/>
      <c r="G4" s="601"/>
      <c r="H4" s="601"/>
      <c r="I4" s="601"/>
      <c r="J4" s="601"/>
      <c r="K4" s="601"/>
      <c r="L4" s="601"/>
      <c r="M4" s="314"/>
      <c r="N4" s="220"/>
      <c r="O4" s="219"/>
      <c r="P4" s="220"/>
      <c r="Q4" s="220"/>
      <c r="R4" s="220"/>
      <c r="S4" s="220"/>
      <c r="T4" s="220"/>
      <c r="U4" s="220"/>
      <c r="V4" s="220"/>
    </row>
    <row r="5" spans="2:22" ht="6.95" customHeight="1" x14ac:dyDescent="0.4">
      <c r="B5" s="154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6"/>
      <c r="N5" s="220"/>
      <c r="O5" s="219"/>
      <c r="P5" s="220"/>
      <c r="Q5" s="220"/>
      <c r="R5" s="220"/>
      <c r="S5" s="220"/>
      <c r="T5" s="220"/>
      <c r="U5" s="220"/>
      <c r="V5" s="220"/>
    </row>
    <row r="6" spans="2:22" ht="6.95" customHeight="1" x14ac:dyDescent="0.4">
      <c r="B6" s="153"/>
      <c r="C6" s="218"/>
      <c r="D6" s="218"/>
      <c r="E6" s="218"/>
      <c r="F6" s="534"/>
      <c r="G6" s="534"/>
      <c r="H6" s="534"/>
      <c r="I6" s="534"/>
      <c r="J6" s="534"/>
      <c r="K6" s="534"/>
      <c r="L6" s="534"/>
      <c r="M6" s="537"/>
      <c r="N6" s="218"/>
      <c r="O6" s="219"/>
      <c r="P6" s="218"/>
      <c r="Q6" s="218"/>
      <c r="R6" s="218"/>
      <c r="S6" s="218"/>
    </row>
    <row r="7" spans="2:22" x14ac:dyDescent="0.4">
      <c r="B7" s="153"/>
      <c r="C7" s="218"/>
      <c r="D7" s="218"/>
      <c r="E7" s="218"/>
      <c r="F7" s="535" t="s">
        <v>55</v>
      </c>
      <c r="G7" s="534"/>
      <c r="H7" s="535" t="s">
        <v>20</v>
      </c>
      <c r="I7" s="534"/>
      <c r="J7" s="535" t="s">
        <v>34</v>
      </c>
      <c r="K7" s="534"/>
      <c r="L7" s="535" t="s">
        <v>54</v>
      </c>
      <c r="M7" s="537"/>
      <c r="N7" s="219"/>
      <c r="O7" s="219"/>
      <c r="P7" s="219"/>
      <c r="Q7" s="218"/>
      <c r="R7" s="218"/>
      <c r="S7" s="218"/>
    </row>
    <row r="8" spans="2:22" x14ac:dyDescent="0.4">
      <c r="B8" s="153"/>
      <c r="C8" s="315" t="s">
        <v>2</v>
      </c>
      <c r="D8" s="218"/>
      <c r="E8" s="218"/>
      <c r="F8" s="218"/>
      <c r="G8" s="218"/>
      <c r="H8" s="218"/>
      <c r="I8" s="218"/>
      <c r="J8" s="220"/>
      <c r="K8" s="220"/>
      <c r="L8" s="218"/>
      <c r="M8" s="316"/>
      <c r="N8" s="219"/>
      <c r="O8" s="219"/>
      <c r="P8" s="219"/>
      <c r="Q8" s="218"/>
      <c r="R8" s="218"/>
      <c r="S8" s="218"/>
    </row>
    <row r="9" spans="2:22" x14ac:dyDescent="0.4">
      <c r="B9" s="153"/>
      <c r="C9" s="218"/>
      <c r="D9" s="218" t="s">
        <v>266</v>
      </c>
      <c r="E9" s="218"/>
      <c r="F9" s="221">
        <v>2200475</v>
      </c>
      <c r="G9" s="221"/>
      <c r="H9" s="221">
        <f>'BA Existing Rates'!I16</f>
        <v>-23665.596599999815</v>
      </c>
      <c r="I9" s="221"/>
      <c r="J9" s="317" t="s">
        <v>60</v>
      </c>
      <c r="K9" s="317"/>
      <c r="L9" s="221">
        <f>SUM(F9,H9)</f>
        <v>2176809.4034000002</v>
      </c>
      <c r="M9" s="318"/>
      <c r="N9" s="484" t="s">
        <v>665</v>
      </c>
      <c r="O9" s="219"/>
      <c r="P9" s="219"/>
      <c r="Q9" s="218"/>
      <c r="R9" s="218"/>
      <c r="S9" s="218"/>
    </row>
    <row r="10" spans="2:22" x14ac:dyDescent="0.4">
      <c r="B10" s="153"/>
      <c r="C10" s="218"/>
      <c r="D10" s="218" t="s">
        <v>265</v>
      </c>
      <c r="E10" s="218"/>
      <c r="F10" s="225">
        <v>6685</v>
      </c>
      <c r="G10" s="221"/>
      <c r="H10" s="225">
        <f>ROUND('BA Existing Rates'!I27,0)</f>
        <v>-4</v>
      </c>
      <c r="I10" s="223"/>
      <c r="J10" s="317" t="s">
        <v>61</v>
      </c>
      <c r="K10" s="317"/>
      <c r="L10" s="225">
        <f>SUM(F10,H10)</f>
        <v>6681</v>
      </c>
      <c r="M10" s="318"/>
      <c r="N10" s="484" t="s">
        <v>666</v>
      </c>
      <c r="O10" s="219"/>
      <c r="P10" s="219"/>
      <c r="Q10" s="218"/>
      <c r="R10" s="218"/>
      <c r="S10" s="218"/>
    </row>
    <row r="11" spans="2:22" x14ac:dyDescent="0.4">
      <c r="B11" s="153"/>
      <c r="C11" s="218"/>
      <c r="D11" s="218" t="s">
        <v>267</v>
      </c>
      <c r="E11" s="218"/>
      <c r="F11" s="223">
        <f>SUM(F9:F10)</f>
        <v>2207160</v>
      </c>
      <c r="G11" s="221"/>
      <c r="H11" s="223">
        <f>SUM(H9:H10)</f>
        <v>-23669.596599999815</v>
      </c>
      <c r="I11" s="223"/>
      <c r="J11" s="317"/>
      <c r="K11" s="317"/>
      <c r="L11" s="223">
        <f>SUM(L9:L10)</f>
        <v>2183490.4034000002</v>
      </c>
      <c r="M11" s="318"/>
      <c r="N11" s="222"/>
      <c r="O11" s="219"/>
      <c r="P11" s="219"/>
      <c r="Q11" s="218"/>
      <c r="R11" s="218"/>
      <c r="S11" s="218"/>
    </row>
    <row r="12" spans="2:22" x14ac:dyDescent="0.4">
      <c r="B12" s="153"/>
      <c r="C12" s="218"/>
      <c r="D12" s="218" t="s">
        <v>28</v>
      </c>
      <c r="E12" s="218"/>
      <c r="F12" s="223"/>
      <c r="G12" s="224"/>
      <c r="H12" s="223"/>
      <c r="I12" s="223"/>
      <c r="J12" s="320"/>
      <c r="K12" s="320"/>
      <c r="L12" s="223"/>
      <c r="M12" s="318"/>
      <c r="O12" s="219"/>
      <c r="P12" s="219"/>
      <c r="Q12" s="218"/>
      <c r="R12" s="218"/>
      <c r="S12" s="218"/>
    </row>
    <row r="13" spans="2:22" x14ac:dyDescent="0.4">
      <c r="B13" s="153"/>
      <c r="C13" s="218"/>
      <c r="D13" s="218"/>
      <c r="E13" s="218" t="s">
        <v>26</v>
      </c>
      <c r="F13" s="223">
        <v>32405</v>
      </c>
      <c r="G13" s="223"/>
      <c r="H13" s="223"/>
      <c r="I13" s="223"/>
      <c r="J13" s="320"/>
      <c r="K13" s="320"/>
      <c r="L13" s="223">
        <f>SUM(F13,H13)</f>
        <v>32405</v>
      </c>
      <c r="M13" s="319"/>
      <c r="N13" s="222"/>
      <c r="O13" s="219"/>
      <c r="P13" s="321"/>
      <c r="Q13" s="218"/>
      <c r="R13" s="218"/>
      <c r="S13" s="218"/>
    </row>
    <row r="14" spans="2:22" x14ac:dyDescent="0.4">
      <c r="B14" s="153"/>
      <c r="C14" s="218"/>
      <c r="D14" s="218"/>
      <c r="E14" s="218" t="s">
        <v>27</v>
      </c>
      <c r="F14" s="223">
        <v>28185</v>
      </c>
      <c r="G14" s="223"/>
      <c r="H14" s="223"/>
      <c r="I14" s="223"/>
      <c r="J14" s="320"/>
      <c r="K14" s="320"/>
      <c r="L14" s="223">
        <f t="shared" ref="L14:L15" si="0">SUM(F14,H14)</f>
        <v>28185</v>
      </c>
      <c r="M14" s="319"/>
      <c r="N14" s="222"/>
      <c r="P14" s="322"/>
      <c r="Q14" s="323"/>
      <c r="R14" s="218"/>
      <c r="S14" s="218"/>
    </row>
    <row r="15" spans="2:22" ht="17.25" x14ac:dyDescent="0.4">
      <c r="B15" s="153"/>
      <c r="C15" s="218"/>
      <c r="D15" s="218"/>
      <c r="E15" s="116" t="s">
        <v>109</v>
      </c>
      <c r="F15" s="225">
        <v>256</v>
      </c>
      <c r="G15" s="223"/>
      <c r="H15" s="225"/>
      <c r="I15" s="223"/>
      <c r="J15" s="320"/>
      <c r="K15" s="320"/>
      <c r="L15" s="225">
        <f t="shared" si="0"/>
        <v>256</v>
      </c>
      <c r="M15" s="324"/>
      <c r="N15" s="222"/>
      <c r="P15" s="322"/>
      <c r="Q15" s="325"/>
      <c r="R15" s="218"/>
      <c r="S15" s="218"/>
    </row>
    <row r="16" spans="2:22" x14ac:dyDescent="0.4">
      <c r="B16" s="153"/>
      <c r="C16" s="218" t="s">
        <v>3</v>
      </c>
      <c r="D16" s="218"/>
      <c r="E16" s="218"/>
      <c r="F16" s="224">
        <f>SUM(F11,F13:F15)</f>
        <v>2268006</v>
      </c>
      <c r="G16" s="224"/>
      <c r="H16" s="224">
        <f>SUM(H11,H13:H15)</f>
        <v>-23669.596599999815</v>
      </c>
      <c r="I16" s="224"/>
      <c r="J16" s="320"/>
      <c r="K16" s="320"/>
      <c r="L16" s="224">
        <f>SUM(L11,L13:L15)</f>
        <v>2244336.4034000002</v>
      </c>
      <c r="M16" s="318"/>
      <c r="N16" s="219"/>
      <c r="P16" s="322"/>
      <c r="Q16" s="325"/>
      <c r="R16" s="218"/>
      <c r="S16" s="218"/>
    </row>
    <row r="17" spans="2:19" ht="17.25" x14ac:dyDescent="0.4">
      <c r="B17" s="153"/>
      <c r="C17" s="315" t="s">
        <v>4</v>
      </c>
      <c r="D17" s="218"/>
      <c r="E17" s="218"/>
      <c r="F17" s="224"/>
      <c r="G17" s="224"/>
      <c r="H17" s="223"/>
      <c r="I17" s="223"/>
      <c r="J17" s="320"/>
      <c r="K17" s="320"/>
      <c r="L17" s="224"/>
      <c r="M17" s="326"/>
      <c r="N17" s="219"/>
      <c r="P17" s="322"/>
      <c r="Q17" s="327"/>
      <c r="R17" s="218"/>
      <c r="S17" s="218"/>
    </row>
    <row r="18" spans="2:19" x14ac:dyDescent="0.4">
      <c r="B18" s="153"/>
      <c r="C18" s="218"/>
      <c r="D18" s="218" t="s">
        <v>8</v>
      </c>
      <c r="E18" s="218"/>
      <c r="F18" s="223"/>
      <c r="G18" s="223"/>
      <c r="H18" s="223"/>
      <c r="I18" s="223"/>
      <c r="J18" s="320"/>
      <c r="K18" s="320"/>
      <c r="L18" s="224"/>
      <c r="M18" s="326"/>
      <c r="N18" s="219"/>
      <c r="P18" s="322"/>
      <c r="Q18" s="323"/>
      <c r="R18" s="218"/>
      <c r="S18" s="218"/>
    </row>
    <row r="19" spans="2:19" x14ac:dyDescent="0.4">
      <c r="B19" s="153"/>
      <c r="C19" s="218"/>
      <c r="D19" s="218"/>
      <c r="E19" s="218" t="s">
        <v>12</v>
      </c>
      <c r="F19" s="223">
        <v>430015</v>
      </c>
      <c r="G19" s="223"/>
      <c r="H19" s="223">
        <f>'Emp Sal &amp; Wages'!M93</f>
        <v>97269.81868280092</v>
      </c>
      <c r="I19" s="223"/>
      <c r="J19" s="320" t="s">
        <v>62</v>
      </c>
      <c r="K19" s="320"/>
      <c r="L19" s="224">
        <f t="shared" ref="L19:L38" si="1">F19+H19</f>
        <v>527284.81868280098</v>
      </c>
      <c r="M19" s="326"/>
      <c r="N19" s="484" t="s">
        <v>664</v>
      </c>
      <c r="P19" s="321"/>
      <c r="Q19" s="218"/>
      <c r="R19" s="218"/>
      <c r="S19" s="218"/>
    </row>
    <row r="20" spans="2:19" x14ac:dyDescent="0.4">
      <c r="B20" s="153"/>
      <c r="C20" s="218"/>
      <c r="D20" s="218"/>
      <c r="E20" s="218" t="s">
        <v>13</v>
      </c>
      <c r="F20" s="223">
        <v>18000</v>
      </c>
      <c r="G20" s="223"/>
      <c r="H20" s="223"/>
      <c r="I20" s="223"/>
      <c r="J20" s="320"/>
      <c r="K20" s="320"/>
      <c r="L20" s="224">
        <f t="shared" si="1"/>
        <v>18000</v>
      </c>
      <c r="M20" s="326"/>
      <c r="O20" s="219"/>
      <c r="P20" s="219"/>
      <c r="R20" s="218"/>
      <c r="S20" s="218"/>
    </row>
    <row r="21" spans="2:19" x14ac:dyDescent="0.4">
      <c r="B21" s="153"/>
      <c r="C21" s="218"/>
      <c r="D21" s="218"/>
      <c r="E21" s="218" t="s">
        <v>14</v>
      </c>
      <c r="F21" s="223">
        <v>220330</v>
      </c>
      <c r="G21" s="223"/>
      <c r="H21" s="223">
        <f>'Pension &amp; Benefits'!H9</f>
        <v>-38509.556009471999</v>
      </c>
      <c r="I21" s="223"/>
      <c r="J21" s="329" t="s">
        <v>98</v>
      </c>
      <c r="K21" s="329"/>
      <c r="L21" s="224"/>
      <c r="M21" s="326"/>
      <c r="N21" s="485" t="s">
        <v>661</v>
      </c>
      <c r="O21" s="219"/>
      <c r="R21" s="218"/>
      <c r="S21" s="218"/>
    </row>
    <row r="22" spans="2:19" x14ac:dyDescent="0.4">
      <c r="B22" s="153"/>
      <c r="C22" s="218"/>
      <c r="D22" s="218"/>
      <c r="E22" s="218"/>
      <c r="F22" s="223"/>
      <c r="G22" s="223"/>
      <c r="H22" s="223">
        <f>'Pension &amp; Benefits'!H20</f>
        <v>5250</v>
      </c>
      <c r="I22" s="223"/>
      <c r="J22" s="320" t="s">
        <v>63</v>
      </c>
      <c r="K22" s="320"/>
      <c r="L22" s="224"/>
      <c r="M22" s="326"/>
      <c r="N22" s="484" t="s">
        <v>662</v>
      </c>
      <c r="O22" s="219"/>
      <c r="R22" s="218"/>
      <c r="S22" s="218"/>
    </row>
    <row r="23" spans="2:19" x14ac:dyDescent="0.4">
      <c r="B23" s="153"/>
      <c r="C23" s="218"/>
      <c r="D23" s="218"/>
      <c r="E23" s="218"/>
      <c r="F23" s="223"/>
      <c r="G23" s="223"/>
      <c r="H23" s="223">
        <f>'Pension &amp; Benefits'!H36</f>
        <v>22060</v>
      </c>
      <c r="I23" s="223"/>
      <c r="J23" s="320" t="s">
        <v>64</v>
      </c>
      <c r="K23" s="320"/>
      <c r="L23" s="224">
        <f>SUM(F21,H21,H22,H23)</f>
        <v>209130.443990528</v>
      </c>
      <c r="M23" s="326"/>
      <c r="N23" s="484" t="s">
        <v>663</v>
      </c>
      <c r="O23" s="219"/>
      <c r="R23" s="218"/>
      <c r="S23" s="218"/>
    </row>
    <row r="24" spans="2:19" x14ac:dyDescent="0.4">
      <c r="B24" s="153"/>
      <c r="C24" s="218"/>
      <c r="D24" s="218"/>
      <c r="E24" s="218" t="s">
        <v>16</v>
      </c>
      <c r="F24" s="223">
        <v>154303</v>
      </c>
      <c r="G24" s="223"/>
      <c r="H24" s="223">
        <f>WatPurch!C43</f>
        <v>-10428</v>
      </c>
      <c r="I24" s="223"/>
      <c r="J24" s="329" t="s">
        <v>65</v>
      </c>
      <c r="K24" s="329"/>
      <c r="L24" s="224">
        <f t="shared" si="1"/>
        <v>143875</v>
      </c>
      <c r="M24" s="326"/>
      <c r="N24" s="484" t="s">
        <v>667</v>
      </c>
      <c r="O24" s="219"/>
      <c r="R24" s="218"/>
      <c r="S24" s="218"/>
    </row>
    <row r="25" spans="2:19" x14ac:dyDescent="0.4">
      <c r="B25" s="153"/>
      <c r="C25" s="218"/>
      <c r="D25" s="218"/>
      <c r="E25" s="218" t="s">
        <v>268</v>
      </c>
      <c r="F25" s="223">
        <v>88875</v>
      </c>
      <c r="G25" s="223"/>
      <c r="H25" s="223">
        <f>WatPurch!D43</f>
        <v>-6006</v>
      </c>
      <c r="I25" s="223"/>
      <c r="J25" s="329" t="s">
        <v>65</v>
      </c>
      <c r="K25" s="329"/>
      <c r="L25" s="224">
        <f t="shared" si="1"/>
        <v>82869</v>
      </c>
      <c r="M25" s="326"/>
      <c r="N25" s="484" t="s">
        <v>667</v>
      </c>
      <c r="O25" s="219"/>
      <c r="R25" s="218"/>
      <c r="S25" s="218"/>
    </row>
    <row r="26" spans="2:19" x14ac:dyDescent="0.4">
      <c r="B26" s="153"/>
      <c r="C26" s="218"/>
      <c r="D26" s="218"/>
      <c r="E26" s="218" t="s">
        <v>50</v>
      </c>
      <c r="F26" s="223">
        <v>86124</v>
      </c>
      <c r="G26" s="223"/>
      <c r="H26" s="223"/>
      <c r="I26" s="223"/>
      <c r="J26" s="329"/>
      <c r="K26" s="329"/>
      <c r="L26" s="224">
        <f t="shared" si="1"/>
        <v>86124</v>
      </c>
      <c r="M26" s="326"/>
      <c r="N26" s="222"/>
      <c r="O26" s="330"/>
      <c r="P26" s="219"/>
      <c r="Q26" s="218"/>
      <c r="R26" s="218"/>
      <c r="S26" s="218"/>
    </row>
    <row r="27" spans="2:19" x14ac:dyDescent="0.4">
      <c r="B27" s="153"/>
      <c r="C27" s="218"/>
      <c r="D27" s="218"/>
      <c r="E27" s="218" t="s">
        <v>270</v>
      </c>
      <c r="F27" s="223">
        <v>6041</v>
      </c>
      <c r="G27" s="223"/>
      <c r="H27" s="223"/>
      <c r="I27" s="223"/>
      <c r="J27" s="329"/>
      <c r="K27" s="329"/>
      <c r="L27" s="224">
        <f t="shared" si="1"/>
        <v>6041</v>
      </c>
      <c r="M27" s="326"/>
      <c r="N27" s="222"/>
      <c r="O27" s="330"/>
      <c r="P27" s="219"/>
      <c r="Q27" s="218"/>
      <c r="R27" s="218"/>
      <c r="S27" s="218"/>
    </row>
    <row r="28" spans="2:19" x14ac:dyDescent="0.4">
      <c r="B28" s="153"/>
      <c r="C28" s="218"/>
      <c r="D28" s="218"/>
      <c r="E28" s="218" t="s">
        <v>244</v>
      </c>
      <c r="F28" s="223">
        <v>161</v>
      </c>
      <c r="G28" s="223"/>
      <c r="H28" s="223"/>
      <c r="I28" s="223"/>
      <c r="J28" s="329"/>
      <c r="K28" s="329"/>
      <c r="L28" s="224">
        <f t="shared" si="1"/>
        <v>161</v>
      </c>
      <c r="M28" s="326"/>
      <c r="N28" s="222"/>
      <c r="O28" s="330"/>
      <c r="P28" s="219"/>
      <c r="Q28" s="218"/>
      <c r="R28" s="218"/>
      <c r="S28" s="218"/>
    </row>
    <row r="29" spans="2:19" ht="15.4" x14ac:dyDescent="0.4">
      <c r="B29" s="153"/>
      <c r="C29" s="218"/>
      <c r="D29" s="218"/>
      <c r="E29" s="218" t="s">
        <v>227</v>
      </c>
      <c r="F29" s="223">
        <v>12351</v>
      </c>
      <c r="G29" s="223"/>
      <c r="H29" s="223"/>
      <c r="I29" s="223"/>
      <c r="J29" s="320"/>
      <c r="K29" s="320"/>
      <c r="L29" s="224">
        <f t="shared" si="1"/>
        <v>12351</v>
      </c>
      <c r="M29" s="326"/>
      <c r="N29" s="538"/>
      <c r="O29" s="219"/>
      <c r="P29" s="219"/>
      <c r="Q29" s="218"/>
      <c r="R29" s="218"/>
      <c r="S29" s="218"/>
    </row>
    <row r="30" spans="2:19" ht="15.4" x14ac:dyDescent="0.4">
      <c r="B30" s="153"/>
      <c r="C30" s="218"/>
      <c r="D30" s="218"/>
      <c r="E30" s="218" t="s">
        <v>269</v>
      </c>
      <c r="F30" s="223">
        <v>199571</v>
      </c>
      <c r="G30" s="223"/>
      <c r="H30" s="223"/>
      <c r="I30" s="223"/>
      <c r="J30" s="320"/>
      <c r="K30" s="320"/>
      <c r="L30" s="224">
        <f t="shared" si="1"/>
        <v>199571</v>
      </c>
      <c r="M30" s="326"/>
      <c r="N30" s="538"/>
      <c r="O30" s="219"/>
      <c r="P30" s="219"/>
      <c r="Q30" s="218"/>
      <c r="R30" s="218"/>
      <c r="S30" s="218"/>
    </row>
    <row r="31" spans="2:19" ht="15" customHeight="1" x14ac:dyDescent="0.4">
      <c r="B31" s="153"/>
      <c r="C31" s="218"/>
      <c r="D31" s="218"/>
      <c r="E31" s="218" t="s">
        <v>668</v>
      </c>
      <c r="F31" s="223">
        <v>16295</v>
      </c>
      <c r="G31" s="223"/>
      <c r="H31" s="223"/>
      <c r="I31" s="223"/>
      <c r="J31" s="320"/>
      <c r="K31" s="320"/>
      <c r="L31" s="224">
        <f t="shared" si="1"/>
        <v>16295</v>
      </c>
      <c r="M31" s="326"/>
      <c r="N31" s="219"/>
      <c r="O31" s="219"/>
      <c r="P31" s="219"/>
      <c r="Q31" s="218"/>
      <c r="R31" s="218"/>
      <c r="S31" s="218"/>
    </row>
    <row r="32" spans="2:19" x14ac:dyDescent="0.4">
      <c r="B32" s="153"/>
      <c r="C32" s="218"/>
      <c r="D32" s="218"/>
      <c r="E32" s="218" t="s">
        <v>22</v>
      </c>
      <c r="F32" s="223">
        <v>95606</v>
      </c>
      <c r="G32" s="223"/>
      <c r="H32" s="223"/>
      <c r="I32" s="223"/>
      <c r="J32" s="320"/>
      <c r="K32" s="320"/>
      <c r="L32" s="224">
        <f t="shared" si="1"/>
        <v>95606</v>
      </c>
      <c r="M32" s="326"/>
      <c r="N32" s="219"/>
      <c r="O32" s="331"/>
      <c r="P32" s="219"/>
      <c r="Q32" s="218"/>
      <c r="R32" s="218"/>
      <c r="S32" s="218"/>
    </row>
    <row r="33" spans="2:19" x14ac:dyDescent="0.4">
      <c r="B33" s="153"/>
      <c r="C33" s="218"/>
      <c r="D33" s="218"/>
      <c r="E33" s="218" t="s">
        <v>272</v>
      </c>
      <c r="F33" s="223">
        <v>3334</v>
      </c>
      <c r="G33" s="223"/>
      <c r="H33" s="223"/>
      <c r="I33" s="223"/>
      <c r="J33" s="320"/>
      <c r="K33" s="320"/>
      <c r="L33" s="224">
        <f t="shared" si="1"/>
        <v>3334</v>
      </c>
      <c r="M33" s="326"/>
      <c r="N33" s="219"/>
      <c r="O33" s="331"/>
      <c r="P33" s="219"/>
      <c r="Q33" s="218"/>
      <c r="R33" s="218"/>
      <c r="S33" s="218"/>
    </row>
    <row r="34" spans="2:19" x14ac:dyDescent="0.4">
      <c r="B34" s="153"/>
      <c r="C34" s="218"/>
      <c r="D34" s="218"/>
      <c r="E34" s="218" t="s">
        <v>228</v>
      </c>
      <c r="F34" s="223">
        <v>21712</v>
      </c>
      <c r="G34" s="223"/>
      <c r="H34" s="223"/>
      <c r="I34" s="223"/>
      <c r="J34" s="320"/>
      <c r="K34" s="320"/>
      <c r="L34" s="224">
        <f t="shared" si="1"/>
        <v>21712</v>
      </c>
      <c r="M34" s="326"/>
      <c r="N34" s="219"/>
      <c r="O34" s="331"/>
      <c r="P34" s="219"/>
      <c r="Q34" s="218"/>
      <c r="R34" s="218"/>
      <c r="S34" s="218"/>
    </row>
    <row r="35" spans="2:19" x14ac:dyDescent="0.4">
      <c r="B35" s="153"/>
      <c r="C35" s="218"/>
      <c r="D35" s="218"/>
      <c r="E35" s="218" t="s">
        <v>273</v>
      </c>
      <c r="F35" s="223">
        <v>2828</v>
      </c>
      <c r="G35" s="223"/>
      <c r="H35" s="223"/>
      <c r="I35" s="223"/>
      <c r="J35" s="320"/>
      <c r="K35" s="320"/>
      <c r="L35" s="224">
        <f t="shared" si="1"/>
        <v>2828</v>
      </c>
      <c r="M35" s="326"/>
      <c r="N35" s="219"/>
      <c r="O35" s="331"/>
      <c r="P35" s="219"/>
      <c r="Q35" s="218"/>
      <c r="R35" s="218"/>
      <c r="S35" s="218"/>
    </row>
    <row r="36" spans="2:19" x14ac:dyDescent="0.4">
      <c r="B36" s="153"/>
      <c r="C36" s="218"/>
      <c r="D36" s="218"/>
      <c r="E36" s="218" t="s">
        <v>274</v>
      </c>
      <c r="F36" s="223">
        <v>1202</v>
      </c>
      <c r="G36" s="223"/>
      <c r="H36" s="223"/>
      <c r="I36" s="223"/>
      <c r="J36" s="320"/>
      <c r="K36" s="320"/>
      <c r="L36" s="224">
        <f t="shared" si="1"/>
        <v>1202</v>
      </c>
      <c r="M36" s="326"/>
      <c r="N36" s="219"/>
      <c r="O36" s="331"/>
      <c r="P36" s="219"/>
      <c r="Q36" s="218"/>
      <c r="R36" s="218"/>
      <c r="S36" s="218"/>
    </row>
    <row r="37" spans="2:19" x14ac:dyDescent="0.4">
      <c r="B37" s="153"/>
      <c r="C37" s="218"/>
      <c r="D37" s="218"/>
      <c r="E37" s="218" t="s">
        <v>100</v>
      </c>
      <c r="F37" s="223">
        <v>-1000</v>
      </c>
      <c r="G37" s="223"/>
      <c r="H37" s="223"/>
      <c r="I37" s="223"/>
      <c r="J37" s="320"/>
      <c r="K37" s="320"/>
      <c r="L37" s="224">
        <f t="shared" si="1"/>
        <v>-1000</v>
      </c>
      <c r="M37" s="326"/>
      <c r="N37" s="219"/>
      <c r="O37" s="219"/>
      <c r="P37" s="219"/>
      <c r="Q37" s="218"/>
      <c r="R37" s="218"/>
      <c r="S37" s="218"/>
    </row>
    <row r="38" spans="2:19" ht="17.25" x14ac:dyDescent="0.4">
      <c r="B38" s="153"/>
      <c r="C38" s="218"/>
      <c r="D38" s="218"/>
      <c r="E38" s="218" t="s">
        <v>18</v>
      </c>
      <c r="F38" s="225">
        <v>4944</v>
      </c>
      <c r="G38" s="223"/>
      <c r="H38" s="225"/>
      <c r="I38" s="223"/>
      <c r="J38" s="320"/>
      <c r="K38" s="320"/>
      <c r="L38" s="227">
        <f t="shared" si="1"/>
        <v>4944</v>
      </c>
      <c r="M38" s="324"/>
      <c r="O38" s="219"/>
      <c r="P38" s="219"/>
      <c r="Q38" s="218"/>
      <c r="R38" s="218"/>
      <c r="S38" s="218"/>
    </row>
    <row r="39" spans="2:19" x14ac:dyDescent="0.4">
      <c r="B39" s="153"/>
      <c r="C39" s="218"/>
      <c r="D39" s="218" t="s">
        <v>242</v>
      </c>
      <c r="E39" s="218"/>
      <c r="F39" s="223">
        <f>SUM(F19:F38)</f>
        <v>1360692</v>
      </c>
      <c r="G39" s="223"/>
      <c r="H39" s="223">
        <f>SUM(H19:H38)</f>
        <v>69636.262673328922</v>
      </c>
      <c r="I39" s="223"/>
      <c r="J39" s="329"/>
      <c r="K39" s="329"/>
      <c r="L39" s="224">
        <f>SUM(L19:L38)</f>
        <v>1430328.2626733291</v>
      </c>
      <c r="M39" s="326"/>
      <c r="N39" s="219"/>
      <c r="O39" s="219"/>
      <c r="P39" s="219"/>
      <c r="Q39" s="218"/>
      <c r="R39" s="218"/>
      <c r="S39" s="218"/>
    </row>
    <row r="40" spans="2:19" x14ac:dyDescent="0.4">
      <c r="B40" s="153"/>
      <c r="C40" s="218"/>
      <c r="D40" s="218" t="s">
        <v>10</v>
      </c>
      <c r="E40" s="218"/>
      <c r="F40" s="223">
        <v>1459231</v>
      </c>
      <c r="G40" s="223"/>
      <c r="H40" s="223">
        <f>'Dep Adj '!J17</f>
        <v>-555623</v>
      </c>
      <c r="I40" s="223"/>
      <c r="J40" s="329" t="s">
        <v>151</v>
      </c>
      <c r="K40" s="329"/>
      <c r="L40" s="224"/>
      <c r="M40" s="326"/>
      <c r="N40" s="484" t="s">
        <v>635</v>
      </c>
      <c r="O40" s="219"/>
      <c r="P40" s="219"/>
      <c r="Q40" s="218"/>
      <c r="R40" s="218"/>
      <c r="S40" s="218"/>
    </row>
    <row r="41" spans="2:19" x14ac:dyDescent="0.4">
      <c r="B41" s="153"/>
      <c r="C41" s="218"/>
      <c r="D41" s="218"/>
      <c r="E41" s="218"/>
      <c r="F41" s="223"/>
      <c r="G41" s="223"/>
      <c r="H41" s="223">
        <f>'Dep Adj '!J15</f>
        <v>104680.12000000001</v>
      </c>
      <c r="I41" s="223"/>
      <c r="J41" s="329" t="s">
        <v>66</v>
      </c>
      <c r="K41" s="329"/>
      <c r="L41" s="224"/>
      <c r="M41" s="326"/>
      <c r="N41" s="484" t="s">
        <v>633</v>
      </c>
      <c r="O41" s="219"/>
      <c r="P41" s="219"/>
      <c r="Q41" s="218"/>
      <c r="R41" s="218"/>
      <c r="S41" s="218"/>
    </row>
    <row r="42" spans="2:19" x14ac:dyDescent="0.4">
      <c r="B42" s="153"/>
      <c r="C42" s="218"/>
      <c r="D42" s="218"/>
      <c r="E42" s="218"/>
      <c r="F42" s="223"/>
      <c r="G42" s="223"/>
      <c r="H42" s="223">
        <f>'Dep Adj '!J19</f>
        <v>75655</v>
      </c>
      <c r="I42" s="223"/>
      <c r="J42" s="329" t="s">
        <v>67</v>
      </c>
      <c r="K42" s="329"/>
      <c r="L42" s="224">
        <f>SUM(F40,H40:H42)</f>
        <v>1083943.1200000001</v>
      </c>
      <c r="M42" s="326"/>
      <c r="N42" s="484" t="s">
        <v>634</v>
      </c>
      <c r="O42" s="219"/>
      <c r="P42" s="219"/>
      <c r="Q42" s="218"/>
      <c r="R42" s="218"/>
      <c r="S42" s="218"/>
    </row>
    <row r="43" spans="2:19" ht="17.25" x14ac:dyDescent="0.4">
      <c r="B43" s="153"/>
      <c r="C43" s="218"/>
      <c r="D43" s="218" t="s">
        <v>11</v>
      </c>
      <c r="E43" s="218"/>
      <c r="F43" s="227">
        <v>3296</v>
      </c>
      <c r="G43" s="224"/>
      <c r="H43" s="227">
        <f>FICA!G10</f>
        <v>41714</v>
      </c>
      <c r="I43" s="224"/>
      <c r="J43" s="320" t="s">
        <v>68</v>
      </c>
      <c r="K43" s="320"/>
      <c r="L43" s="227">
        <f>F43+H43</f>
        <v>45010</v>
      </c>
      <c r="M43" s="324"/>
      <c r="N43" s="484" t="s">
        <v>636</v>
      </c>
      <c r="O43" s="219"/>
      <c r="P43" s="219"/>
      <c r="Q43" s="218"/>
      <c r="R43" s="218"/>
      <c r="S43" s="218"/>
    </row>
    <row r="44" spans="2:19" x14ac:dyDescent="0.4">
      <c r="B44" s="153"/>
      <c r="C44" s="218" t="s">
        <v>5</v>
      </c>
      <c r="D44" s="218"/>
      <c r="E44" s="218"/>
      <c r="F44" s="225">
        <f>SUM(F39:F43)</f>
        <v>2823219</v>
      </c>
      <c r="G44" s="223"/>
      <c r="H44" s="332">
        <f>SUM(H39:H43)</f>
        <v>-263937.61732667108</v>
      </c>
      <c r="I44" s="333"/>
      <c r="J44" s="329"/>
      <c r="K44" s="329"/>
      <c r="L44" s="225">
        <f>SUM(L39:L43)</f>
        <v>2559281.3826733292</v>
      </c>
      <c r="M44" s="318"/>
      <c r="N44" s="219"/>
      <c r="O44" s="219"/>
      <c r="P44" s="219"/>
      <c r="Q44" s="218"/>
      <c r="R44" s="218"/>
      <c r="S44" s="218"/>
    </row>
    <row r="45" spans="2:19" ht="15.4" thickBot="1" x14ac:dyDescent="0.45">
      <c r="B45" s="153"/>
      <c r="C45" s="218" t="s">
        <v>23</v>
      </c>
      <c r="D45" s="218"/>
      <c r="E45" s="218"/>
      <c r="F45" s="228">
        <f>F16-F44</f>
        <v>-555213</v>
      </c>
      <c r="G45" s="229"/>
      <c r="H45" s="228">
        <f>H16-H44</f>
        <v>240268.02072667127</v>
      </c>
      <c r="I45" s="229"/>
      <c r="J45" s="220"/>
      <c r="K45" s="220"/>
      <c r="L45" s="228">
        <f>L16-L44</f>
        <v>-314944.97927332902</v>
      </c>
      <c r="M45" s="318"/>
      <c r="N45" s="219"/>
      <c r="O45" s="219"/>
      <c r="P45" s="219"/>
      <c r="Q45" s="218"/>
      <c r="R45" s="218"/>
      <c r="S45" s="218"/>
    </row>
    <row r="46" spans="2:19" ht="15.4" thickTop="1" x14ac:dyDescent="0.4">
      <c r="B46" s="153"/>
      <c r="C46" s="218"/>
      <c r="D46" s="218"/>
      <c r="E46" s="218"/>
      <c r="F46" s="334"/>
      <c r="G46" s="334"/>
      <c r="H46" s="218"/>
      <c r="I46" s="218"/>
      <c r="J46" s="220"/>
      <c r="K46" s="220"/>
      <c r="L46" s="334"/>
      <c r="M46" s="326"/>
      <c r="N46" s="219"/>
      <c r="O46" s="219"/>
      <c r="P46" s="219"/>
      <c r="Q46" s="218"/>
      <c r="R46" s="218"/>
      <c r="S46" s="218"/>
    </row>
    <row r="47" spans="2:19" ht="17.25" x14ac:dyDescent="0.4">
      <c r="B47" s="153"/>
      <c r="C47" s="603" t="s">
        <v>33</v>
      </c>
      <c r="D47" s="603"/>
      <c r="E47" s="603"/>
      <c r="F47" s="603"/>
      <c r="G47" s="603"/>
      <c r="H47" s="603"/>
      <c r="I47" s="603"/>
      <c r="J47" s="603"/>
      <c r="K47" s="603"/>
      <c r="L47" s="603"/>
      <c r="M47" s="314"/>
      <c r="N47" s="219"/>
      <c r="O47" s="328"/>
      <c r="P47" s="219"/>
      <c r="Q47" s="218"/>
      <c r="R47" s="218"/>
      <c r="S47" s="218"/>
    </row>
    <row r="48" spans="2:19" x14ac:dyDescent="0.4">
      <c r="B48" s="153"/>
      <c r="C48" s="218" t="s">
        <v>6</v>
      </c>
      <c r="D48" s="218"/>
      <c r="E48" s="218"/>
      <c r="H48" s="218"/>
      <c r="I48" s="218"/>
      <c r="J48" s="220"/>
      <c r="K48" s="220"/>
      <c r="L48" s="229">
        <f>L44</f>
        <v>2559281.3826733292</v>
      </c>
      <c r="M48" s="318"/>
      <c r="N48" s="219"/>
      <c r="O48" s="219"/>
      <c r="P48" s="219"/>
      <c r="Q48" s="218"/>
      <c r="R48" s="218"/>
      <c r="S48" s="218"/>
    </row>
    <row r="49" spans="2:19" x14ac:dyDescent="0.4">
      <c r="B49" s="153"/>
      <c r="C49" s="218" t="s">
        <v>58</v>
      </c>
      <c r="D49" s="218"/>
      <c r="E49" s="218" t="s">
        <v>35</v>
      </c>
      <c r="H49" s="218"/>
      <c r="I49" s="218"/>
      <c r="J49" s="230" t="s">
        <v>139</v>
      </c>
      <c r="K49" s="230"/>
      <c r="L49" s="179">
        <f>'Debt Sch'!K19</f>
        <v>368377</v>
      </c>
      <c r="M49" s="335"/>
      <c r="N49" s="219"/>
      <c r="O49" s="219"/>
      <c r="P49" s="219"/>
      <c r="Q49" s="218"/>
      <c r="R49" s="218"/>
      <c r="S49" s="218"/>
    </row>
    <row r="50" spans="2:19" ht="17.25" x14ac:dyDescent="0.4">
      <c r="B50" s="153"/>
      <c r="C50" s="218"/>
      <c r="D50" s="218"/>
      <c r="E50" s="218" t="s">
        <v>19</v>
      </c>
      <c r="H50" s="218"/>
      <c r="I50" s="218"/>
      <c r="J50" s="230" t="s">
        <v>139</v>
      </c>
      <c r="K50" s="230"/>
      <c r="L50" s="227">
        <f>ROUND(L49*0.2,0)</f>
        <v>73675</v>
      </c>
      <c r="M50" s="324"/>
      <c r="N50" s="219"/>
      <c r="O50" s="219"/>
      <c r="P50" s="219"/>
      <c r="Q50" s="218"/>
      <c r="R50" s="218"/>
      <c r="S50" s="218"/>
    </row>
    <row r="51" spans="2:19" x14ac:dyDescent="0.4">
      <c r="B51" s="153"/>
      <c r="C51" s="218" t="s">
        <v>24</v>
      </c>
      <c r="D51" s="218"/>
      <c r="E51" s="218"/>
      <c r="H51" s="218"/>
      <c r="I51" s="218"/>
      <c r="J51" s="220"/>
      <c r="K51" s="220"/>
      <c r="L51" s="229">
        <f>SUM(L48:L50)</f>
        <v>3001333.3826733292</v>
      </c>
      <c r="M51" s="318"/>
      <c r="N51" s="219"/>
      <c r="O51" s="219"/>
      <c r="P51" s="219"/>
      <c r="Q51" s="218"/>
      <c r="R51" s="218"/>
      <c r="S51" s="218"/>
    </row>
    <row r="52" spans="2:19" x14ac:dyDescent="0.4">
      <c r="B52" s="153"/>
      <c r="C52" s="218" t="s">
        <v>59</v>
      </c>
      <c r="D52" s="218"/>
      <c r="E52" s="218" t="s">
        <v>7</v>
      </c>
      <c r="H52" s="218"/>
      <c r="I52" s="218"/>
      <c r="J52" s="220"/>
      <c r="K52" s="220"/>
      <c r="L52" s="231">
        <f>-L13-L14-L15</f>
        <v>-60846</v>
      </c>
      <c r="M52" s="336"/>
      <c r="N52" s="219"/>
      <c r="O52" s="219"/>
      <c r="P52" s="219"/>
      <c r="Q52" s="218"/>
      <c r="R52" s="218"/>
      <c r="S52" s="218"/>
    </row>
    <row r="53" spans="2:19" ht="17.25" x14ac:dyDescent="0.4">
      <c r="B53" s="153"/>
      <c r="C53" s="218"/>
      <c r="D53" s="218"/>
      <c r="E53" s="218" t="s">
        <v>36</v>
      </c>
      <c r="H53" s="218"/>
      <c r="I53" s="218"/>
      <c r="J53" s="220"/>
      <c r="K53" s="220"/>
      <c r="L53" s="142">
        <v>-10548</v>
      </c>
      <c r="M53" s="324"/>
      <c r="N53" s="219"/>
      <c r="O53" s="219"/>
      <c r="P53" s="219"/>
      <c r="Q53" s="337"/>
      <c r="R53" s="218"/>
      <c r="S53" s="218"/>
    </row>
    <row r="54" spans="2:19" x14ac:dyDescent="0.4">
      <c r="B54" s="153"/>
      <c r="C54" s="218"/>
      <c r="D54" s="218"/>
      <c r="E54" s="116" t="s">
        <v>111</v>
      </c>
      <c r="H54" s="218"/>
      <c r="I54" s="218"/>
      <c r="J54" s="220"/>
      <c r="K54" s="220"/>
      <c r="L54" s="145">
        <v>-348</v>
      </c>
      <c r="M54" s="338"/>
      <c r="O54" s="219"/>
      <c r="P54" s="229"/>
      <c r="Q54" s="218"/>
      <c r="R54" s="218"/>
      <c r="S54" s="218"/>
    </row>
    <row r="55" spans="2:19" ht="17.25" x14ac:dyDescent="0.4">
      <c r="B55" s="153"/>
      <c r="C55" s="218" t="s">
        <v>69</v>
      </c>
      <c r="D55" s="218"/>
      <c r="E55" s="218"/>
      <c r="H55" s="218"/>
      <c r="I55" s="218"/>
      <c r="J55" s="220"/>
      <c r="K55" s="220"/>
      <c r="L55" s="232">
        <f>SUM(L51:L54)</f>
        <v>2929591.3826733292</v>
      </c>
      <c r="M55" s="324"/>
      <c r="N55" s="219"/>
      <c r="O55" s="219"/>
      <c r="P55" s="219"/>
      <c r="Q55" s="218"/>
      <c r="R55" s="218"/>
      <c r="S55" s="218"/>
    </row>
    <row r="56" spans="2:19" x14ac:dyDescent="0.4">
      <c r="B56" s="153"/>
      <c r="C56" s="218"/>
      <c r="D56" s="218"/>
      <c r="E56" s="218" t="s">
        <v>25</v>
      </c>
      <c r="H56" s="218"/>
      <c r="I56" s="218"/>
      <c r="J56" s="220"/>
      <c r="K56" s="220"/>
      <c r="L56" s="262">
        <f>-L11</f>
        <v>-2183490.4034000002</v>
      </c>
      <c r="M56" s="318"/>
      <c r="N56" s="219"/>
      <c r="O56" s="219"/>
      <c r="P56" s="219"/>
      <c r="R56" s="218"/>
      <c r="S56" s="218"/>
    </row>
    <row r="57" spans="2:19" ht="15" customHeight="1" thickBot="1" x14ac:dyDescent="0.45">
      <c r="B57" s="153"/>
      <c r="C57" s="218" t="s">
        <v>169</v>
      </c>
      <c r="D57" s="218"/>
      <c r="E57" s="218"/>
      <c r="H57" s="218"/>
      <c r="I57" s="218"/>
      <c r="J57" s="220"/>
      <c r="K57" s="220"/>
      <c r="L57" s="233">
        <f>SUM(L55:L56)</f>
        <v>746100.97927332902</v>
      </c>
      <c r="M57" s="532"/>
    </row>
    <row r="58" spans="2:19" ht="15.75" thickTop="1" thickBot="1" x14ac:dyDescent="0.45">
      <c r="B58" s="153"/>
      <c r="L58" s="147">
        <f>ROUND(L57/(-L56),4)</f>
        <v>0.3417</v>
      </c>
      <c r="M58" s="532"/>
    </row>
    <row r="59" spans="2:19" ht="15.4" thickTop="1" x14ac:dyDescent="0.4">
      <c r="B59" s="154"/>
      <c r="C59" s="530"/>
      <c r="D59" s="530"/>
      <c r="E59" s="530"/>
      <c r="F59" s="530"/>
      <c r="G59" s="530"/>
      <c r="H59" s="530"/>
      <c r="I59" s="530"/>
      <c r="J59" s="531"/>
      <c r="K59" s="531"/>
      <c r="L59" s="530"/>
      <c r="M59" s="339"/>
    </row>
  </sheetData>
  <mergeCells count="3">
    <mergeCell ref="C4:L4"/>
    <mergeCell ref="C3:L3"/>
    <mergeCell ref="C47:L47"/>
  </mergeCells>
  <printOptions horizontalCentered="1"/>
  <pageMargins left="1.1000000000000001" right="1" top="0.6" bottom="0.5" header="0" footer="0"/>
  <pageSetup scale="85" orientation="portrait" r:id="rId1"/>
  <headerFooter alignWithMargins="0"/>
  <ignoredErrors>
    <ignoredError sqref="L3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0329-8FA1-4266-B206-5A09C0CC04B7}">
  <dimension ref="A2:E44"/>
  <sheetViews>
    <sheetView topLeftCell="C23" workbookViewId="0">
      <selection activeCell="C43" activeCellId="1" sqref="C41:D41 C43:D43"/>
    </sheetView>
  </sheetViews>
  <sheetFormatPr defaultColWidth="14.77734375" defaultRowHeight="14.25" x14ac:dyDescent="0.45"/>
  <cols>
    <col min="1" max="1" width="14.77734375" style="506"/>
    <col min="2" max="16384" width="14.77734375" style="9"/>
  </cols>
  <sheetData>
    <row r="2" spans="1:3" x14ac:dyDescent="0.45">
      <c r="B2" s="506" t="s">
        <v>128</v>
      </c>
    </row>
    <row r="3" spans="1:3" ht="16.5" x14ac:dyDescent="0.75">
      <c r="B3" s="507" t="s">
        <v>127</v>
      </c>
    </row>
    <row r="4" spans="1:3" x14ac:dyDescent="0.45">
      <c r="A4" s="506" t="s">
        <v>115</v>
      </c>
      <c r="B4" s="9">
        <v>26994000</v>
      </c>
      <c r="C4" s="9">
        <v>20637000</v>
      </c>
    </row>
    <row r="5" spans="1:3" x14ac:dyDescent="0.45">
      <c r="A5" s="506" t="s">
        <v>116</v>
      </c>
      <c r="B5" s="9">
        <v>31023000</v>
      </c>
      <c r="C5" s="9">
        <v>21880000</v>
      </c>
    </row>
    <row r="6" spans="1:3" x14ac:dyDescent="0.45">
      <c r="A6" s="506" t="s">
        <v>117</v>
      </c>
      <c r="B6" s="9">
        <v>28062000</v>
      </c>
      <c r="C6" s="9">
        <v>21032000</v>
      </c>
    </row>
    <row r="7" spans="1:3" x14ac:dyDescent="0.45">
      <c r="A7" s="506" t="s">
        <v>118</v>
      </c>
      <c r="B7" s="9">
        <v>26572000</v>
      </c>
      <c r="C7" s="9">
        <v>19942000</v>
      </c>
    </row>
    <row r="8" spans="1:3" x14ac:dyDescent="0.45">
      <c r="A8" s="506" t="s">
        <v>119</v>
      </c>
      <c r="B8" s="9">
        <v>27420000</v>
      </c>
      <c r="C8" s="9">
        <v>20416000</v>
      </c>
    </row>
    <row r="9" spans="1:3" x14ac:dyDescent="0.45">
      <c r="A9" s="506" t="s">
        <v>120</v>
      </c>
      <c r="B9" s="9">
        <v>29945000</v>
      </c>
      <c r="C9" s="9">
        <v>23774000</v>
      </c>
    </row>
    <row r="10" spans="1:3" x14ac:dyDescent="0.45">
      <c r="A10" s="506" t="s">
        <v>121</v>
      </c>
      <c r="B10" s="9">
        <v>34565000</v>
      </c>
      <c r="C10" s="9">
        <v>27196000</v>
      </c>
    </row>
    <row r="11" spans="1:3" x14ac:dyDescent="0.45">
      <c r="A11" s="506" t="s">
        <v>122</v>
      </c>
      <c r="B11" s="9">
        <v>30127000</v>
      </c>
      <c r="C11" s="9">
        <v>24136000</v>
      </c>
    </row>
    <row r="12" spans="1:3" x14ac:dyDescent="0.45">
      <c r="A12" s="506" t="s">
        <v>123</v>
      </c>
      <c r="B12" s="9">
        <v>30841000</v>
      </c>
      <c r="C12" s="9">
        <v>23807000</v>
      </c>
    </row>
    <row r="13" spans="1:3" x14ac:dyDescent="0.45">
      <c r="A13" s="506" t="s">
        <v>126</v>
      </c>
      <c r="B13" s="9">
        <v>29438000</v>
      </c>
      <c r="C13" s="9">
        <v>22926000</v>
      </c>
    </row>
    <row r="14" spans="1:3" x14ac:dyDescent="0.45">
      <c r="A14" s="506" t="s">
        <v>124</v>
      </c>
      <c r="B14" s="9">
        <v>29118000</v>
      </c>
      <c r="C14" s="9">
        <v>23034000</v>
      </c>
    </row>
    <row r="15" spans="1:3" ht="16.5" x14ac:dyDescent="0.75">
      <c r="A15" s="506" t="s">
        <v>125</v>
      </c>
      <c r="B15" s="73">
        <v>26693000</v>
      </c>
      <c r="C15" s="9">
        <v>21060000</v>
      </c>
    </row>
    <row r="16" spans="1:3" x14ac:dyDescent="0.45">
      <c r="A16" s="506" t="s">
        <v>32</v>
      </c>
      <c r="B16" s="9">
        <f t="shared" ref="B16:C16" si="0">SUM(B4:B15)</f>
        <v>350798000</v>
      </c>
      <c r="C16" s="9">
        <f t="shared" si="0"/>
        <v>269840000</v>
      </c>
    </row>
    <row r="19" spans="1:5" x14ac:dyDescent="0.45">
      <c r="A19" s="1"/>
      <c r="B19" s="1"/>
      <c r="C19" s="150"/>
      <c r="D19" s="35"/>
      <c r="E19" s="35"/>
    </row>
    <row r="20" spans="1:5" x14ac:dyDescent="0.45">
      <c r="A20" s="48" t="s">
        <v>37</v>
      </c>
      <c r="B20" s="11"/>
      <c r="C20" s="11"/>
      <c r="D20" s="11"/>
      <c r="E20" s="11"/>
    </row>
    <row r="21" spans="1:5" x14ac:dyDescent="0.45">
      <c r="A21" s="11" t="s">
        <v>38</v>
      </c>
      <c r="C21" s="9">
        <f>B16</f>
        <v>350798000</v>
      </c>
      <c r="D21" s="148"/>
      <c r="E21" s="10"/>
    </row>
    <row r="22" spans="1:5" x14ac:dyDescent="0.45">
      <c r="A22" s="11" t="s">
        <v>39</v>
      </c>
      <c r="C22" s="9">
        <f>C16</f>
        <v>269840000</v>
      </c>
      <c r="D22" s="11"/>
      <c r="E22" s="11"/>
    </row>
    <row r="23" spans="1:5" x14ac:dyDescent="0.45">
      <c r="A23" s="11" t="s">
        <v>40</v>
      </c>
      <c r="D23" s="11"/>
      <c r="E23" s="11"/>
    </row>
    <row r="24" spans="1:5" x14ac:dyDescent="0.45">
      <c r="A24" s="1" t="s">
        <v>41</v>
      </c>
      <c r="B24" s="9">
        <v>0</v>
      </c>
      <c r="D24" s="11"/>
      <c r="E24" s="11"/>
    </row>
    <row r="25" spans="1:5" x14ac:dyDescent="0.45">
      <c r="A25" s="11" t="s">
        <v>42</v>
      </c>
      <c r="B25" s="9">
        <v>3831000</v>
      </c>
      <c r="D25" s="11"/>
      <c r="E25" s="11"/>
    </row>
    <row r="26" spans="1:5" x14ac:dyDescent="0.45">
      <c r="A26" s="11" t="s">
        <v>43</v>
      </c>
      <c r="B26" s="9">
        <v>41000</v>
      </c>
      <c r="D26" s="11"/>
      <c r="E26" s="11"/>
    </row>
    <row r="27" spans="1:5" ht="16.5" x14ac:dyDescent="0.75">
      <c r="A27" s="11" t="s">
        <v>44</v>
      </c>
      <c r="B27" s="508">
        <v>4370000</v>
      </c>
      <c r="C27" s="9">
        <f>SUM(B24:B27)</f>
        <v>8242000</v>
      </c>
      <c r="D27" s="11"/>
      <c r="E27" s="11"/>
    </row>
    <row r="28" spans="1:5" x14ac:dyDescent="0.45">
      <c r="A28" s="11" t="s">
        <v>246</v>
      </c>
      <c r="B28" s="509">
        <v>0</v>
      </c>
      <c r="D28" s="11"/>
      <c r="E28" s="11"/>
    </row>
    <row r="29" spans="1:5" x14ac:dyDescent="0.45">
      <c r="A29" s="11" t="s">
        <v>45</v>
      </c>
      <c r="B29" s="9">
        <v>527000</v>
      </c>
      <c r="D29" s="11"/>
      <c r="E29" s="11"/>
    </row>
    <row r="30" spans="1:5" x14ac:dyDescent="0.45">
      <c r="A30" s="11" t="s">
        <v>46</v>
      </c>
      <c r="B30" s="509">
        <v>75801000</v>
      </c>
      <c r="D30" s="11"/>
      <c r="E30" s="11"/>
    </row>
    <row r="31" spans="1:5" ht="16.5" x14ac:dyDescent="0.75">
      <c r="A31" s="11" t="s">
        <v>245</v>
      </c>
      <c r="B31" s="508">
        <v>0</v>
      </c>
      <c r="D31" s="11"/>
      <c r="E31" s="11"/>
    </row>
    <row r="32" spans="1:5" ht="16.5" x14ac:dyDescent="0.75">
      <c r="A32" s="11"/>
      <c r="B32" s="508"/>
      <c r="D32" s="11"/>
      <c r="E32" s="11"/>
    </row>
    <row r="33" spans="1:5" ht="16.5" x14ac:dyDescent="0.75">
      <c r="A33" s="11"/>
      <c r="B33" s="508"/>
      <c r="D33" s="11"/>
      <c r="E33" s="11"/>
    </row>
    <row r="34" spans="1:5" ht="16.5" x14ac:dyDescent="0.75">
      <c r="A34" s="11"/>
      <c r="B34" s="508"/>
      <c r="D34" s="11"/>
      <c r="E34" s="11"/>
    </row>
    <row r="35" spans="1:5" ht="16.5" x14ac:dyDescent="0.75">
      <c r="A35" s="11"/>
      <c r="B35" s="508"/>
      <c r="D35" s="11"/>
      <c r="E35" s="11"/>
    </row>
    <row r="36" spans="1:5" x14ac:dyDescent="0.45">
      <c r="A36" s="11"/>
      <c r="C36" s="9">
        <f>SUM(B28:B31)</f>
        <v>76328000</v>
      </c>
      <c r="D36" s="19">
        <f>C36/C21</f>
        <v>0.21758390868819091</v>
      </c>
      <c r="E36" s="11" t="s">
        <v>47</v>
      </c>
    </row>
    <row r="37" spans="1:5" x14ac:dyDescent="0.45">
      <c r="A37" s="5" t="s">
        <v>48</v>
      </c>
      <c r="B37" s="9">
        <f>SUM(C22:C36)</f>
        <v>354410000</v>
      </c>
      <c r="D37" s="27">
        <v>0.15</v>
      </c>
      <c r="E37" s="11" t="s">
        <v>49</v>
      </c>
    </row>
    <row r="38" spans="1:5" x14ac:dyDescent="0.45">
      <c r="A38" s="20"/>
      <c r="B38" s="11"/>
      <c r="C38" s="11"/>
      <c r="D38" s="510">
        <f>ROUND(D36-D37,5)</f>
        <v>6.7580000000000001E-2</v>
      </c>
      <c r="E38" s="22" t="s">
        <v>189</v>
      </c>
    </row>
    <row r="39" spans="1:5" x14ac:dyDescent="0.45">
      <c r="A39" s="20"/>
      <c r="B39" s="11"/>
      <c r="C39" s="11"/>
      <c r="D39" s="44"/>
      <c r="E39" s="22"/>
    </row>
    <row r="40" spans="1:5" x14ac:dyDescent="0.45">
      <c r="C40" s="519" t="s">
        <v>655</v>
      </c>
      <c r="D40" s="520" t="s">
        <v>268</v>
      </c>
    </row>
    <row r="41" spans="1:5" x14ac:dyDescent="0.45">
      <c r="A41" s="511" t="s">
        <v>656</v>
      </c>
      <c r="C41" s="9">
        <f>'SAO - DSC'!F24</f>
        <v>154303</v>
      </c>
      <c r="D41" s="9">
        <f>'SAO - DSC'!F25</f>
        <v>88875</v>
      </c>
    </row>
    <row r="42" spans="1:5" x14ac:dyDescent="0.45">
      <c r="A42" s="511" t="s">
        <v>657</v>
      </c>
      <c r="C42" s="521">
        <f>-D38</f>
        <v>-6.7580000000000001E-2</v>
      </c>
      <c r="D42" s="521">
        <f>-D38</f>
        <v>-6.7580000000000001E-2</v>
      </c>
    </row>
    <row r="43" spans="1:5" ht="14.65" thickBot="1" x14ac:dyDescent="0.5">
      <c r="A43" s="511" t="s">
        <v>658</v>
      </c>
      <c r="C43" s="522">
        <f>ROUND(C41*C42,0)</f>
        <v>-10428</v>
      </c>
      <c r="D43" s="522">
        <f>ROUND(D41*D42,0)</f>
        <v>-6006</v>
      </c>
    </row>
    <row r="44" spans="1:5" ht="14.65" thickTop="1" x14ac:dyDescent="0.4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1989-EEE4-487C-AC30-473F77437267}">
  <dimension ref="B1:T24"/>
  <sheetViews>
    <sheetView workbookViewId="0">
      <selection activeCell="T12" sqref="T12"/>
    </sheetView>
  </sheetViews>
  <sheetFormatPr defaultColWidth="8.88671875" defaultRowHeight="15" x14ac:dyDescent="0.4"/>
  <cols>
    <col min="1" max="1" width="3.33203125" style="365" customWidth="1"/>
    <col min="2" max="2" width="7.33203125" style="383" customWidth="1"/>
    <col min="3" max="3" width="1.33203125" style="365" customWidth="1"/>
    <col min="4" max="4" width="41.77734375" style="365" customWidth="1"/>
    <col min="5" max="5" width="1.33203125" style="365" customWidth="1"/>
    <col min="6" max="6" width="13" style="368" customWidth="1"/>
    <col min="7" max="7" width="1.33203125" style="365" customWidth="1"/>
    <col min="8" max="8" width="12.77734375" style="365" customWidth="1"/>
    <col min="9" max="9" width="1.33203125" style="365" customWidth="1"/>
    <col min="10" max="10" width="11.44140625" style="368" customWidth="1"/>
    <col min="11" max="11" width="1.33203125" style="365" customWidth="1"/>
    <col min="12" max="12" width="13" style="368" customWidth="1"/>
    <col min="13" max="14" width="1.33203125" style="365" customWidth="1"/>
    <col min="15" max="15" width="11.44140625" style="368" customWidth="1"/>
    <col min="16" max="19" width="1.33203125" style="365" customWidth="1"/>
    <col min="20" max="16384" width="8.88671875" style="365"/>
  </cols>
  <sheetData>
    <row r="1" spans="2:20" x14ac:dyDescent="0.4">
      <c r="B1" s="615" t="s">
        <v>148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</row>
    <row r="2" spans="2:20" x14ac:dyDescent="0.4">
      <c r="B2" s="618" t="s">
        <v>149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20"/>
    </row>
    <row r="3" spans="2:20" x14ac:dyDescent="0.4">
      <c r="B3" s="621" t="s">
        <v>275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3"/>
    </row>
    <row r="4" spans="2:20" x14ac:dyDescent="0.4">
      <c r="B4" s="380"/>
      <c r="C4" s="381"/>
      <c r="D4" s="381"/>
      <c r="E4" s="381"/>
      <c r="F4" s="382"/>
      <c r="G4" s="381"/>
      <c r="H4" s="381"/>
      <c r="I4" s="381"/>
      <c r="J4" s="382"/>
      <c r="K4" s="381"/>
      <c r="L4" s="382"/>
      <c r="M4" s="381"/>
      <c r="N4" s="381"/>
      <c r="O4" s="427"/>
    </row>
    <row r="5" spans="2:20" x14ac:dyDescent="0.4">
      <c r="B5" s="367"/>
      <c r="O5" s="428"/>
    </row>
    <row r="6" spans="2:20" x14ac:dyDescent="0.4">
      <c r="B6" s="367"/>
      <c r="D6" s="116" t="s">
        <v>443</v>
      </c>
      <c r="F6" s="116"/>
      <c r="J6" s="116"/>
      <c r="K6" s="116"/>
      <c r="L6" s="369"/>
      <c r="O6" s="429"/>
    </row>
    <row r="7" spans="2:20" ht="15.75" x14ac:dyDescent="0.5">
      <c r="B7" s="367"/>
      <c r="D7" s="116"/>
      <c r="F7" s="230" t="s">
        <v>57</v>
      </c>
      <c r="H7" s="366" t="s">
        <v>444</v>
      </c>
      <c r="J7" s="370" t="s">
        <v>181</v>
      </c>
      <c r="K7" s="230"/>
      <c r="L7" s="371" t="s">
        <v>479</v>
      </c>
      <c r="O7" s="428"/>
    </row>
    <row r="8" spans="2:20" ht="15.75" x14ac:dyDescent="0.5">
      <c r="B8" s="367"/>
      <c r="D8" s="310" t="s">
        <v>445</v>
      </c>
      <c r="F8" s="243" t="s">
        <v>446</v>
      </c>
      <c r="H8" s="372" t="s">
        <v>243</v>
      </c>
      <c r="J8" s="373" t="s">
        <v>444</v>
      </c>
      <c r="K8" s="230"/>
      <c r="L8" s="374" t="s">
        <v>447</v>
      </c>
      <c r="O8" s="428"/>
    </row>
    <row r="9" spans="2:20" x14ac:dyDescent="0.4">
      <c r="B9" s="367"/>
      <c r="D9" s="111" t="s">
        <v>448</v>
      </c>
      <c r="F9" s="375">
        <v>872400</v>
      </c>
      <c r="H9" s="430">
        <v>10</v>
      </c>
      <c r="J9" s="375">
        <v>87240</v>
      </c>
      <c r="K9" s="230"/>
      <c r="L9" s="230" t="s">
        <v>449</v>
      </c>
      <c r="O9" s="428"/>
    </row>
    <row r="10" spans="2:20" x14ac:dyDescent="0.4">
      <c r="B10" s="367"/>
      <c r="D10" s="111" t="s">
        <v>453</v>
      </c>
      <c r="F10" s="376">
        <v>72736</v>
      </c>
      <c r="H10" s="430">
        <v>15</v>
      </c>
      <c r="J10" s="376">
        <v>4849.07</v>
      </c>
      <c r="K10" s="230"/>
      <c r="L10" s="431">
        <v>45291</v>
      </c>
      <c r="O10" s="428"/>
    </row>
    <row r="11" spans="2:20" x14ac:dyDescent="0.4">
      <c r="B11" s="367"/>
      <c r="D11" s="111" t="s">
        <v>454</v>
      </c>
      <c r="F11" s="376">
        <v>51455</v>
      </c>
      <c r="H11" s="430">
        <v>37.5</v>
      </c>
      <c r="J11" s="376">
        <v>1372.13</v>
      </c>
      <c r="L11" s="431">
        <v>45291</v>
      </c>
      <c r="O11" s="428"/>
    </row>
    <row r="12" spans="2:20" x14ac:dyDescent="0.4">
      <c r="B12" s="367"/>
      <c r="D12" s="111" t="s">
        <v>455</v>
      </c>
      <c r="F12" s="376">
        <v>37578</v>
      </c>
      <c r="H12" s="430">
        <v>5</v>
      </c>
      <c r="J12" s="376">
        <v>7515.6</v>
      </c>
      <c r="L12" s="230">
        <v>45291</v>
      </c>
      <c r="O12" s="428"/>
      <c r="T12" s="365">
        <v>1162653</v>
      </c>
    </row>
    <row r="13" spans="2:20" x14ac:dyDescent="0.4">
      <c r="B13" s="367"/>
      <c r="D13" s="111" t="s">
        <v>456</v>
      </c>
      <c r="F13" s="376">
        <v>19614</v>
      </c>
      <c r="H13" s="430">
        <v>10</v>
      </c>
      <c r="J13" s="376">
        <v>1961.4</v>
      </c>
      <c r="L13" s="431" t="s">
        <v>450</v>
      </c>
      <c r="O13" s="428"/>
    </row>
    <row r="14" spans="2:20" x14ac:dyDescent="0.4">
      <c r="B14" s="367"/>
      <c r="D14" s="111" t="s">
        <v>457</v>
      </c>
      <c r="F14" s="376">
        <v>108870</v>
      </c>
      <c r="H14" s="430">
        <v>62.5</v>
      </c>
      <c r="J14" s="379">
        <v>1741.92</v>
      </c>
      <c r="L14" s="431">
        <v>44926</v>
      </c>
      <c r="O14" s="428"/>
    </row>
    <row r="15" spans="2:20" ht="16.149999999999999" thickBot="1" x14ac:dyDescent="0.55000000000000004">
      <c r="B15" s="367"/>
      <c r="D15" s="116" t="s">
        <v>451</v>
      </c>
      <c r="F15" s="377">
        <f>SUM(F9:F14)</f>
        <v>1162653</v>
      </c>
      <c r="H15" s="378"/>
      <c r="I15" s="378"/>
      <c r="J15" s="415">
        <f>SUM(J9:J14)</f>
        <v>104680.12000000001</v>
      </c>
      <c r="K15" s="368"/>
      <c r="O15" s="428"/>
    </row>
    <row r="16" spans="2:20" ht="15.4" thickTop="1" x14ac:dyDescent="0.4">
      <c r="B16" s="367"/>
      <c r="O16" s="428"/>
    </row>
    <row r="17" spans="2:15" x14ac:dyDescent="0.4">
      <c r="B17" s="367"/>
      <c r="D17" s="365" t="s">
        <v>480</v>
      </c>
      <c r="J17" s="415">
        <v>-555623</v>
      </c>
      <c r="L17" s="431">
        <v>44562</v>
      </c>
      <c r="O17" s="428"/>
    </row>
    <row r="18" spans="2:15" x14ac:dyDescent="0.4">
      <c r="B18" s="367"/>
      <c r="F18" s="365"/>
      <c r="J18" s="365"/>
      <c r="O18" s="428"/>
    </row>
    <row r="19" spans="2:15" x14ac:dyDescent="0.4">
      <c r="B19" s="367"/>
      <c r="D19" s="365" t="s">
        <v>481</v>
      </c>
      <c r="J19" s="432">
        <v>75655</v>
      </c>
      <c r="L19" s="431">
        <v>44927</v>
      </c>
      <c r="O19" s="428"/>
    </row>
    <row r="20" spans="2:15" x14ac:dyDescent="0.4">
      <c r="B20" s="367"/>
      <c r="J20" s="415"/>
      <c r="O20" s="428"/>
    </row>
    <row r="21" spans="2:15" ht="15.4" thickBot="1" x14ac:dyDescent="0.45">
      <c r="B21" s="367"/>
      <c r="D21" s="365" t="s">
        <v>452</v>
      </c>
      <c r="J21" s="377">
        <f>+J15+J17+J19</f>
        <v>-375287.88</v>
      </c>
      <c r="O21" s="428"/>
    </row>
    <row r="22" spans="2:15" ht="15.4" thickTop="1" x14ac:dyDescent="0.4">
      <c r="B22" s="367"/>
      <c r="O22" s="428"/>
    </row>
    <row r="23" spans="2:15" x14ac:dyDescent="0.4">
      <c r="B23" s="367"/>
      <c r="O23" s="428"/>
    </row>
    <row r="24" spans="2:15" x14ac:dyDescent="0.4">
      <c r="B24" s="380"/>
      <c r="C24" s="381"/>
      <c r="D24" s="381"/>
      <c r="E24" s="381"/>
      <c r="F24" s="382"/>
      <c r="G24" s="381"/>
      <c r="H24" s="381"/>
      <c r="I24" s="381"/>
      <c r="J24" s="382"/>
      <c r="K24" s="381"/>
      <c r="L24" s="382"/>
      <c r="M24" s="381"/>
      <c r="N24" s="381"/>
      <c r="O24" s="427"/>
    </row>
  </sheetData>
  <mergeCells count="3">
    <mergeCell ref="B1:O1"/>
    <mergeCell ref="B2:O2"/>
    <mergeCell ref="B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6736-F7ED-4BE6-9AA7-F19FE71D8400}">
  <dimension ref="A1:AA91"/>
  <sheetViews>
    <sheetView showGridLines="0" workbookViewId="0">
      <selection sqref="A1:XFD1048576"/>
    </sheetView>
  </sheetViews>
  <sheetFormatPr defaultColWidth="8.88671875" defaultRowHeight="13.5" x14ac:dyDescent="0.35"/>
  <cols>
    <col min="1" max="1" width="1.77734375" style="111" customWidth="1"/>
    <col min="2" max="2" width="7.33203125" style="434" customWidth="1"/>
    <col min="3" max="3" width="1.33203125" style="111" customWidth="1"/>
    <col min="4" max="4" width="41.77734375" style="111" customWidth="1"/>
    <col min="5" max="5" width="1.33203125" style="111" customWidth="1"/>
    <col min="6" max="6" width="14.6640625" style="112" customWidth="1"/>
    <col min="7" max="7" width="1.33203125" style="111" customWidth="1"/>
    <col min="8" max="8" width="14.21875" style="112" customWidth="1"/>
    <col min="9" max="9" width="1.6640625" style="112" customWidth="1"/>
    <col min="10" max="10" width="13" style="112" customWidth="1"/>
    <col min="11" max="11" width="1.33203125" style="111" customWidth="1"/>
    <col min="12" max="12" width="11.44140625" style="112" customWidth="1"/>
    <col min="13" max="13" width="1.33203125" style="111" customWidth="1"/>
    <col min="14" max="14" width="11.44140625" style="112" customWidth="1"/>
    <col min="15" max="15" width="1.33203125" style="111" customWidth="1"/>
    <col min="16" max="16" width="12.77734375" style="112" customWidth="1"/>
    <col min="17" max="17" width="1.33203125" style="111" customWidth="1"/>
    <col min="18" max="18" width="14" style="112" customWidth="1"/>
    <col min="19" max="19" width="1.33203125" style="111" customWidth="1"/>
    <col min="20" max="20" width="7.77734375" style="113" customWidth="1"/>
    <col min="21" max="24" width="1.33203125" style="111" customWidth="1"/>
    <col min="25" max="25" width="8.88671875" style="433"/>
    <col min="26" max="26" width="1.33203125" style="111" customWidth="1"/>
    <col min="27" max="27" width="32.21875" style="111" customWidth="1"/>
    <col min="28" max="16384" width="8.88671875" style="111"/>
  </cols>
  <sheetData>
    <row r="1" spans="1:27" ht="15" x14ac:dyDescent="0.4"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</row>
    <row r="2" spans="1:27" ht="22.15" x14ac:dyDescent="0.55000000000000004">
      <c r="A2" s="251"/>
      <c r="B2" s="626" t="s">
        <v>482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252"/>
    </row>
    <row r="3" spans="1:27" ht="22.15" x14ac:dyDescent="0.55000000000000004">
      <c r="A3" s="236"/>
      <c r="B3" s="624" t="s">
        <v>483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253"/>
    </row>
    <row r="4" spans="1:27" x14ac:dyDescent="0.35">
      <c r="A4" s="236"/>
      <c r="U4" s="253"/>
    </row>
    <row r="5" spans="1:27" x14ac:dyDescent="0.35">
      <c r="A5" s="236"/>
      <c r="B5" s="434" t="s">
        <v>484</v>
      </c>
      <c r="F5" s="435" t="s">
        <v>485</v>
      </c>
      <c r="H5" s="435" t="s">
        <v>486</v>
      </c>
      <c r="I5" s="435"/>
      <c r="J5" s="435" t="s">
        <v>487</v>
      </c>
      <c r="L5" s="113">
        <v>2022</v>
      </c>
      <c r="N5" s="113" t="s">
        <v>488</v>
      </c>
      <c r="P5" s="113" t="s">
        <v>489</v>
      </c>
      <c r="R5" s="435" t="s">
        <v>486</v>
      </c>
      <c r="T5" s="113" t="s">
        <v>490</v>
      </c>
      <c r="U5" s="253"/>
    </row>
    <row r="6" spans="1:27" x14ac:dyDescent="0.35">
      <c r="A6" s="236"/>
      <c r="B6" s="436" t="s">
        <v>155</v>
      </c>
      <c r="D6" s="114" t="s">
        <v>491</v>
      </c>
      <c r="F6" s="437" t="s">
        <v>492</v>
      </c>
      <c r="H6" s="438">
        <v>44562</v>
      </c>
      <c r="I6" s="439"/>
      <c r="J6" s="438" t="s">
        <v>493</v>
      </c>
      <c r="L6" s="437" t="s">
        <v>494</v>
      </c>
      <c r="N6" s="437" t="s">
        <v>495</v>
      </c>
      <c r="P6" s="437" t="s">
        <v>496</v>
      </c>
      <c r="R6" s="438">
        <v>44926</v>
      </c>
      <c r="T6" s="115" t="s">
        <v>243</v>
      </c>
      <c r="U6" s="253"/>
    </row>
    <row r="7" spans="1:27" x14ac:dyDescent="0.35">
      <c r="A7" s="236"/>
      <c r="B7" s="434">
        <v>303</v>
      </c>
      <c r="D7" s="111" t="s">
        <v>497</v>
      </c>
      <c r="F7" s="440">
        <f>28714+60172+12130+505</f>
        <v>101521</v>
      </c>
      <c r="U7" s="253"/>
      <c r="Y7" s="433">
        <v>303</v>
      </c>
      <c r="AA7" s="111" t="s">
        <v>498</v>
      </c>
    </row>
    <row r="8" spans="1:27" x14ac:dyDescent="0.35">
      <c r="A8" s="236"/>
      <c r="B8" s="434">
        <v>3042</v>
      </c>
      <c r="D8" s="111" t="s">
        <v>499</v>
      </c>
      <c r="F8" s="441">
        <v>936214</v>
      </c>
      <c r="H8" s="440">
        <f>177904+219822-9135</f>
        <v>388591</v>
      </c>
      <c r="I8" s="440"/>
      <c r="J8" s="440">
        <v>0</v>
      </c>
      <c r="L8" s="440">
        <f>37098</f>
        <v>37098</v>
      </c>
      <c r="N8" s="440">
        <v>24</v>
      </c>
      <c r="P8" s="440">
        <f>+L8+N8</f>
        <v>37122</v>
      </c>
      <c r="R8" s="440">
        <f>+H8+P8</f>
        <v>425713</v>
      </c>
      <c r="T8" s="442">
        <v>37.5</v>
      </c>
      <c r="U8" s="253"/>
      <c r="Y8" s="433">
        <v>304</v>
      </c>
      <c r="AA8" s="111" t="s">
        <v>500</v>
      </c>
    </row>
    <row r="9" spans="1:27" x14ac:dyDescent="0.35">
      <c r="A9" s="236"/>
      <c r="B9" s="434">
        <v>3043</v>
      </c>
      <c r="D9" s="111" t="s">
        <v>499</v>
      </c>
      <c r="F9" s="441">
        <v>397195</v>
      </c>
      <c r="G9" s="441"/>
      <c r="H9" s="441">
        <v>113193</v>
      </c>
      <c r="I9" s="441"/>
      <c r="J9" s="441">
        <v>0</v>
      </c>
      <c r="K9" s="441"/>
      <c r="L9" s="441">
        <v>14187</v>
      </c>
      <c r="M9" s="441"/>
      <c r="N9" s="441">
        <v>0</v>
      </c>
      <c r="O9" s="441"/>
      <c r="P9" s="441">
        <f>+L9+N9</f>
        <v>14187</v>
      </c>
      <c r="R9" s="441">
        <f t="shared" ref="R9:R31" si="0">+H9+P9+J9</f>
        <v>127380</v>
      </c>
      <c r="T9" s="442">
        <v>37.5</v>
      </c>
      <c r="U9" s="253"/>
      <c r="Y9" s="433">
        <v>304</v>
      </c>
      <c r="AA9" s="111" t="s">
        <v>500</v>
      </c>
    </row>
    <row r="10" spans="1:27" x14ac:dyDescent="0.35">
      <c r="A10" s="236"/>
      <c r="B10" s="434">
        <v>3045</v>
      </c>
      <c r="D10" s="111" t="s">
        <v>499</v>
      </c>
      <c r="F10" s="441">
        <v>385991</v>
      </c>
      <c r="G10" s="441"/>
      <c r="H10" s="441">
        <v>160249</v>
      </c>
      <c r="I10" s="441"/>
      <c r="J10" s="441">
        <v>0</v>
      </c>
      <c r="K10" s="441"/>
      <c r="L10" s="441">
        <v>10894</v>
      </c>
      <c r="M10" s="441"/>
      <c r="N10" s="441">
        <v>8779</v>
      </c>
      <c r="O10" s="441"/>
      <c r="P10" s="441">
        <f t="shared" ref="P10:P31" si="1">+L10+N10</f>
        <v>19673</v>
      </c>
      <c r="R10" s="441">
        <f t="shared" si="0"/>
        <v>179922</v>
      </c>
      <c r="T10" s="442">
        <v>37.5</v>
      </c>
      <c r="U10" s="253"/>
    </row>
    <row r="11" spans="1:27" x14ac:dyDescent="0.35">
      <c r="A11" s="236"/>
      <c r="B11" s="434">
        <v>3065</v>
      </c>
      <c r="D11" s="111" t="s">
        <v>501</v>
      </c>
      <c r="F11" s="441">
        <v>31560</v>
      </c>
      <c r="G11" s="441"/>
      <c r="H11" s="441">
        <v>9682</v>
      </c>
      <c r="I11" s="441"/>
      <c r="J11" s="441">
        <v>0</v>
      </c>
      <c r="K11" s="441"/>
      <c r="L11" s="441">
        <v>636</v>
      </c>
      <c r="M11" s="441"/>
      <c r="N11" s="441">
        <v>0</v>
      </c>
      <c r="O11" s="441"/>
      <c r="P11" s="441">
        <f t="shared" si="1"/>
        <v>636</v>
      </c>
      <c r="R11" s="441">
        <f t="shared" si="0"/>
        <v>10318</v>
      </c>
      <c r="T11" s="113">
        <v>50</v>
      </c>
      <c r="U11" s="253"/>
    </row>
    <row r="12" spans="1:27" x14ac:dyDescent="0.35">
      <c r="A12" s="236"/>
      <c r="B12" s="434">
        <v>3095</v>
      </c>
      <c r="D12" s="111" t="s">
        <v>502</v>
      </c>
      <c r="F12" s="441">
        <v>3067</v>
      </c>
      <c r="G12" s="441"/>
      <c r="H12" s="441">
        <v>2551</v>
      </c>
      <c r="I12" s="441"/>
      <c r="J12" s="441">
        <v>0</v>
      </c>
      <c r="K12" s="441"/>
      <c r="L12" s="441">
        <v>60</v>
      </c>
      <c r="M12" s="441"/>
      <c r="N12" s="441">
        <v>0</v>
      </c>
      <c r="O12" s="441"/>
      <c r="P12" s="441">
        <f t="shared" si="1"/>
        <v>60</v>
      </c>
      <c r="R12" s="441">
        <f t="shared" si="0"/>
        <v>2611</v>
      </c>
      <c r="T12" s="113">
        <v>50</v>
      </c>
      <c r="U12" s="253"/>
      <c r="Y12" s="433">
        <v>309</v>
      </c>
      <c r="AA12" s="111" t="s">
        <v>502</v>
      </c>
    </row>
    <row r="13" spans="1:27" x14ac:dyDescent="0.35">
      <c r="A13" s="236"/>
      <c r="B13" s="434">
        <v>3115</v>
      </c>
      <c r="D13" s="111" t="s">
        <v>503</v>
      </c>
      <c r="F13" s="441">
        <f>182300+40570</f>
        <v>222870</v>
      </c>
      <c r="G13" s="441"/>
      <c r="H13" s="441">
        <f>339274+33953-219822+9135</f>
        <v>162540</v>
      </c>
      <c r="I13" s="441"/>
      <c r="J13" s="441">
        <v>0</v>
      </c>
      <c r="K13" s="441"/>
      <c r="L13" s="441">
        <v>1967</v>
      </c>
      <c r="M13" s="441"/>
      <c r="N13" s="441">
        <f>36756+6660</f>
        <v>43416</v>
      </c>
      <c r="O13" s="441"/>
      <c r="P13" s="441">
        <f t="shared" si="1"/>
        <v>45383</v>
      </c>
      <c r="R13" s="441">
        <f t="shared" si="0"/>
        <v>207923</v>
      </c>
      <c r="T13" s="113">
        <v>20</v>
      </c>
      <c r="U13" s="253"/>
      <c r="Y13" s="433">
        <v>311</v>
      </c>
      <c r="AA13" s="111" t="s">
        <v>503</v>
      </c>
    </row>
    <row r="14" spans="1:27" x14ac:dyDescent="0.35">
      <c r="A14" s="236"/>
      <c r="B14" s="434">
        <v>3205</v>
      </c>
      <c r="D14" s="111" t="s">
        <v>504</v>
      </c>
      <c r="F14" s="441">
        <f>4939969+32112</f>
        <v>4972081</v>
      </c>
      <c r="G14" s="441"/>
      <c r="H14" s="441">
        <f>1465411+26895</f>
        <v>1492306</v>
      </c>
      <c r="I14" s="441"/>
      <c r="J14" s="441">
        <v>0</v>
      </c>
      <c r="K14" s="441"/>
      <c r="L14" s="441">
        <f>239725+46</f>
        <v>239771</v>
      </c>
      <c r="M14" s="441"/>
      <c r="N14" s="441">
        <f>346557+5089</f>
        <v>351646</v>
      </c>
      <c r="O14" s="441"/>
      <c r="P14" s="441">
        <f t="shared" si="1"/>
        <v>591417</v>
      </c>
      <c r="R14" s="441">
        <f t="shared" si="0"/>
        <v>2083723</v>
      </c>
      <c r="T14" s="442">
        <v>27.5</v>
      </c>
      <c r="U14" s="253"/>
    </row>
    <row r="15" spans="1:27" x14ac:dyDescent="0.35">
      <c r="A15" s="236"/>
      <c r="B15" s="434">
        <v>3304</v>
      </c>
      <c r="D15" s="111" t="s">
        <v>505</v>
      </c>
      <c r="F15" s="441">
        <v>4187353</v>
      </c>
      <c r="G15" s="441"/>
      <c r="H15" s="441">
        <v>1509194</v>
      </c>
      <c r="I15" s="441"/>
      <c r="J15" s="441">
        <v>0</v>
      </c>
      <c r="K15" s="441"/>
      <c r="L15" s="441">
        <v>132013</v>
      </c>
      <c r="M15" s="441"/>
      <c r="N15" s="441">
        <v>2470</v>
      </c>
      <c r="O15" s="441"/>
      <c r="P15" s="441">
        <f t="shared" si="1"/>
        <v>134483</v>
      </c>
      <c r="R15" s="441">
        <f t="shared" si="0"/>
        <v>1643677</v>
      </c>
      <c r="T15" s="113">
        <v>45</v>
      </c>
      <c r="U15" s="253"/>
      <c r="Y15" s="433">
        <v>330</v>
      </c>
      <c r="AA15" s="111" t="s">
        <v>505</v>
      </c>
    </row>
    <row r="16" spans="1:27" x14ac:dyDescent="0.35">
      <c r="A16" s="236"/>
      <c r="B16" s="434">
        <v>3314</v>
      </c>
      <c r="D16" s="111" t="s">
        <v>506</v>
      </c>
      <c r="F16" s="441">
        <f>15273582</f>
        <v>15273582</v>
      </c>
      <c r="G16" s="441"/>
      <c r="H16" s="441">
        <f>6944683</f>
        <v>6944683</v>
      </c>
      <c r="I16" s="441"/>
      <c r="J16" s="441">
        <v>0</v>
      </c>
      <c r="K16" s="441"/>
      <c r="L16" s="441">
        <f>194682</f>
        <v>194682</v>
      </c>
      <c r="M16" s="441"/>
      <c r="N16" s="441">
        <v>0</v>
      </c>
      <c r="O16" s="441"/>
      <c r="P16" s="441">
        <f t="shared" si="1"/>
        <v>194682</v>
      </c>
      <c r="R16" s="441">
        <f t="shared" si="0"/>
        <v>7139365</v>
      </c>
      <c r="T16" s="442">
        <v>62.5</v>
      </c>
      <c r="U16" s="253"/>
      <c r="Y16" s="433">
        <v>331</v>
      </c>
      <c r="AA16" s="111" t="s">
        <v>506</v>
      </c>
    </row>
    <row r="17" spans="1:27" x14ac:dyDescent="0.35">
      <c r="A17" s="236"/>
      <c r="B17" s="434">
        <v>3324</v>
      </c>
      <c r="D17" s="111" t="s">
        <v>507</v>
      </c>
      <c r="F17" s="441">
        <v>337292</v>
      </c>
      <c r="G17" s="441"/>
      <c r="H17" s="441">
        <v>265359</v>
      </c>
      <c r="I17" s="441"/>
      <c r="J17" s="441">
        <v>0</v>
      </c>
      <c r="K17" s="441"/>
      <c r="L17" s="441">
        <v>3898</v>
      </c>
      <c r="M17" s="441"/>
      <c r="N17" s="441">
        <v>38872</v>
      </c>
      <c r="O17" s="441"/>
      <c r="P17" s="441">
        <f t="shared" si="1"/>
        <v>42770</v>
      </c>
      <c r="R17" s="441">
        <f t="shared" si="0"/>
        <v>308129</v>
      </c>
      <c r="T17" s="113">
        <v>10</v>
      </c>
      <c r="U17" s="253"/>
    </row>
    <row r="18" spans="1:27" x14ac:dyDescent="0.35">
      <c r="A18" s="236"/>
      <c r="B18" s="434">
        <v>3334</v>
      </c>
      <c r="D18" s="111" t="s">
        <v>508</v>
      </c>
      <c r="F18" s="441">
        <v>1575174</v>
      </c>
      <c r="G18" s="441"/>
      <c r="H18" s="441">
        <v>365397</v>
      </c>
      <c r="I18" s="441"/>
      <c r="J18" s="441">
        <v>0</v>
      </c>
      <c r="K18" s="441"/>
      <c r="L18" s="441">
        <v>62093</v>
      </c>
      <c r="M18" s="441"/>
      <c r="N18" s="441">
        <v>16899</v>
      </c>
      <c r="O18" s="441"/>
      <c r="P18" s="441">
        <f t="shared" si="1"/>
        <v>78992</v>
      </c>
      <c r="R18" s="441">
        <f t="shared" si="0"/>
        <v>444389</v>
      </c>
      <c r="T18" s="113">
        <v>40</v>
      </c>
      <c r="U18" s="253"/>
      <c r="Y18" s="433">
        <v>334</v>
      </c>
      <c r="AA18" s="111" t="s">
        <v>509</v>
      </c>
    </row>
    <row r="19" spans="1:27" x14ac:dyDescent="0.35">
      <c r="A19" s="236"/>
      <c r="B19" s="434">
        <v>3344</v>
      </c>
      <c r="D19" s="111" t="s">
        <v>510</v>
      </c>
      <c r="F19" s="441">
        <v>2800269</v>
      </c>
      <c r="G19" s="441"/>
      <c r="H19" s="441">
        <v>673779</v>
      </c>
      <c r="I19" s="441"/>
      <c r="J19" s="441">
        <v>-10988</v>
      </c>
      <c r="K19" s="441"/>
      <c r="L19" s="441">
        <v>131788</v>
      </c>
      <c r="M19" s="441"/>
      <c r="N19" s="441">
        <f>86759</f>
        <v>86759</v>
      </c>
      <c r="O19" s="441"/>
      <c r="P19" s="441">
        <f>+L19+N19</f>
        <v>218547</v>
      </c>
      <c r="R19" s="441">
        <f t="shared" si="0"/>
        <v>881338</v>
      </c>
      <c r="T19" s="113">
        <v>20</v>
      </c>
      <c r="U19" s="253"/>
      <c r="Y19" s="433">
        <v>334</v>
      </c>
      <c r="AA19" s="111" t="s">
        <v>509</v>
      </c>
    </row>
    <row r="20" spans="1:27" x14ac:dyDescent="0.35">
      <c r="A20" s="236"/>
      <c r="B20" s="434">
        <v>3345</v>
      </c>
      <c r="D20" s="111" t="s">
        <v>511</v>
      </c>
      <c r="F20" s="441">
        <v>1152841</v>
      </c>
      <c r="G20" s="441"/>
      <c r="H20" s="441">
        <v>576754</v>
      </c>
      <c r="I20" s="441"/>
      <c r="J20" s="441">
        <v>0</v>
      </c>
      <c r="K20" s="441"/>
      <c r="L20" s="441">
        <v>37211</v>
      </c>
      <c r="M20" s="441"/>
      <c r="N20" s="441">
        <v>766</v>
      </c>
      <c r="O20" s="441"/>
      <c r="P20" s="441">
        <f t="shared" si="1"/>
        <v>37977</v>
      </c>
      <c r="R20" s="441">
        <f t="shared" si="0"/>
        <v>614731</v>
      </c>
      <c r="T20" s="113">
        <v>45</v>
      </c>
      <c r="U20" s="253"/>
      <c r="Y20" s="433">
        <v>334</v>
      </c>
      <c r="AA20" s="111" t="s">
        <v>509</v>
      </c>
    </row>
    <row r="21" spans="1:27" x14ac:dyDescent="0.35">
      <c r="A21" s="236"/>
      <c r="B21" s="434">
        <v>3354</v>
      </c>
      <c r="D21" s="111" t="s">
        <v>512</v>
      </c>
      <c r="F21" s="441">
        <v>203501</v>
      </c>
      <c r="G21" s="441"/>
      <c r="H21" s="441">
        <v>78047</v>
      </c>
      <c r="I21" s="441"/>
      <c r="J21" s="441">
        <v>0</v>
      </c>
      <c r="K21" s="441"/>
      <c r="L21" s="441">
        <v>4067</v>
      </c>
      <c r="M21" s="441"/>
      <c r="N21" s="441">
        <v>0</v>
      </c>
      <c r="O21" s="441"/>
      <c r="P21" s="441">
        <f t="shared" si="1"/>
        <v>4067</v>
      </c>
      <c r="R21" s="441">
        <f t="shared" si="0"/>
        <v>82114</v>
      </c>
      <c r="T21" s="113">
        <v>50</v>
      </c>
      <c r="U21" s="253"/>
      <c r="Y21" s="433">
        <v>335</v>
      </c>
      <c r="AA21" s="111" t="s">
        <v>512</v>
      </c>
    </row>
    <row r="22" spans="1:27" x14ac:dyDescent="0.35">
      <c r="A22" s="236"/>
      <c r="B22" s="434">
        <v>3392</v>
      </c>
      <c r="D22" s="111" t="s">
        <v>513</v>
      </c>
      <c r="F22" s="441">
        <v>2569</v>
      </c>
      <c r="G22" s="441"/>
      <c r="H22" s="441">
        <v>2029</v>
      </c>
      <c r="I22" s="441"/>
      <c r="J22" s="441">
        <v>0</v>
      </c>
      <c r="K22" s="441"/>
      <c r="L22" s="441">
        <v>48</v>
      </c>
      <c r="M22" s="441"/>
      <c r="N22" s="441">
        <v>0</v>
      </c>
      <c r="O22" s="441"/>
      <c r="P22" s="441">
        <f t="shared" si="1"/>
        <v>48</v>
      </c>
      <c r="R22" s="441">
        <f t="shared" si="0"/>
        <v>2077</v>
      </c>
      <c r="T22" s="113">
        <v>50</v>
      </c>
      <c r="U22" s="253"/>
    </row>
    <row r="23" spans="1:27" x14ac:dyDescent="0.35">
      <c r="A23" s="236"/>
      <c r="B23" s="434">
        <v>3400</v>
      </c>
      <c r="D23" s="111" t="s">
        <v>514</v>
      </c>
      <c r="F23" s="441">
        <f>210367-127570</f>
        <v>82797</v>
      </c>
      <c r="G23" s="441"/>
      <c r="H23" s="441">
        <f>122220-79985</f>
        <v>42235</v>
      </c>
      <c r="I23" s="441"/>
      <c r="J23" s="441">
        <v>0</v>
      </c>
      <c r="K23" s="441"/>
      <c r="L23" s="441">
        <f>18191-8505</f>
        <v>9686</v>
      </c>
      <c r="M23" s="441"/>
      <c r="N23" s="441">
        <v>5706</v>
      </c>
      <c r="O23" s="441"/>
      <c r="P23" s="441">
        <f t="shared" si="1"/>
        <v>15392</v>
      </c>
      <c r="R23" s="441">
        <f t="shared" si="0"/>
        <v>57627</v>
      </c>
      <c r="T23" s="113">
        <v>5</v>
      </c>
      <c r="U23" s="253"/>
      <c r="Y23" s="433">
        <v>340</v>
      </c>
      <c r="AA23" s="111" t="s">
        <v>515</v>
      </c>
    </row>
    <row r="24" spans="1:27" x14ac:dyDescent="0.35">
      <c r="A24" s="236"/>
      <c r="B24" s="434">
        <v>3400</v>
      </c>
      <c r="D24" s="111" t="s">
        <v>516</v>
      </c>
      <c r="F24" s="441">
        <f>117603+6601+865+180+2321</f>
        <v>127570</v>
      </c>
      <c r="G24" s="441"/>
      <c r="H24" s="441">
        <f>117603+6601+865+180+2321-43121-2750-389-87-1238</f>
        <v>79985</v>
      </c>
      <c r="I24" s="441"/>
      <c r="J24" s="441">
        <v>0</v>
      </c>
      <c r="K24" s="441"/>
      <c r="L24" s="441">
        <f>7840+440+58+12+155</f>
        <v>8505</v>
      </c>
      <c r="M24" s="441"/>
      <c r="N24" s="441">
        <v>0</v>
      </c>
      <c r="O24" s="441"/>
      <c r="P24" s="441">
        <f t="shared" si="1"/>
        <v>8505</v>
      </c>
      <c r="R24" s="441">
        <f t="shared" si="0"/>
        <v>88490</v>
      </c>
      <c r="T24" s="113">
        <v>15</v>
      </c>
      <c r="U24" s="253"/>
    </row>
    <row r="25" spans="1:27" x14ac:dyDescent="0.35">
      <c r="A25" s="236"/>
      <c r="B25" s="434">
        <v>3401</v>
      </c>
      <c r="D25" s="111" t="s">
        <v>517</v>
      </c>
      <c r="F25" s="441">
        <v>58602</v>
      </c>
      <c r="G25" s="441"/>
      <c r="H25" s="441">
        <v>48003</v>
      </c>
      <c r="I25" s="441"/>
      <c r="J25" s="441">
        <v>0</v>
      </c>
      <c r="K25" s="441"/>
      <c r="L25" s="441">
        <v>4243</v>
      </c>
      <c r="M25" s="441"/>
      <c r="N25" s="441">
        <v>0</v>
      </c>
      <c r="O25" s="441"/>
      <c r="P25" s="441">
        <f t="shared" si="1"/>
        <v>4243</v>
      </c>
      <c r="R25" s="441">
        <f t="shared" si="0"/>
        <v>52246</v>
      </c>
      <c r="T25" s="113">
        <v>5</v>
      </c>
      <c r="U25" s="253"/>
      <c r="Y25" s="433">
        <v>340</v>
      </c>
      <c r="AA25" s="111" t="s">
        <v>515</v>
      </c>
    </row>
    <row r="26" spans="1:27" x14ac:dyDescent="0.35">
      <c r="A26" s="236"/>
      <c r="B26" s="434">
        <v>3405</v>
      </c>
      <c r="D26" s="111" t="s">
        <v>515</v>
      </c>
      <c r="F26" s="441">
        <v>91453</v>
      </c>
      <c r="G26" s="441"/>
      <c r="H26" s="441">
        <v>62891</v>
      </c>
      <c r="I26" s="441"/>
      <c r="J26" s="441">
        <v>0</v>
      </c>
      <c r="K26" s="441"/>
      <c r="L26" s="441">
        <v>1664</v>
      </c>
      <c r="M26" s="441"/>
      <c r="N26" s="441">
        <v>0</v>
      </c>
      <c r="O26" s="441"/>
      <c r="P26" s="441">
        <f t="shared" si="1"/>
        <v>1664</v>
      </c>
      <c r="R26" s="441">
        <f t="shared" si="0"/>
        <v>64555</v>
      </c>
      <c r="T26" s="442">
        <v>22.5</v>
      </c>
      <c r="U26" s="253"/>
      <c r="Y26" s="433">
        <v>340</v>
      </c>
      <c r="AA26" s="111" t="s">
        <v>518</v>
      </c>
    </row>
    <row r="27" spans="1:27" x14ac:dyDescent="0.35">
      <c r="A27" s="236"/>
      <c r="B27" s="434">
        <v>3415</v>
      </c>
      <c r="D27" s="111" t="s">
        <v>519</v>
      </c>
      <c r="F27" s="441">
        <v>55626</v>
      </c>
      <c r="G27" s="441"/>
      <c r="H27" s="441">
        <v>33104</v>
      </c>
      <c r="I27" s="441"/>
      <c r="J27" s="441">
        <v>0</v>
      </c>
      <c r="K27" s="441"/>
      <c r="L27" s="441">
        <v>4018</v>
      </c>
      <c r="M27" s="441"/>
      <c r="N27" s="441">
        <v>0</v>
      </c>
      <c r="O27" s="441"/>
      <c r="P27" s="441">
        <f t="shared" si="1"/>
        <v>4018</v>
      </c>
      <c r="R27" s="441">
        <f t="shared" si="0"/>
        <v>37122</v>
      </c>
      <c r="T27" s="113">
        <v>7</v>
      </c>
      <c r="U27" s="253"/>
      <c r="Y27" s="433">
        <v>341</v>
      </c>
      <c r="AA27" s="111" t="s">
        <v>519</v>
      </c>
    </row>
    <row r="28" spans="1:27" x14ac:dyDescent="0.35">
      <c r="A28" s="236"/>
      <c r="B28" s="434">
        <v>3435</v>
      </c>
      <c r="D28" s="111" t="s">
        <v>520</v>
      </c>
      <c r="F28" s="441">
        <v>28888</v>
      </c>
      <c r="G28" s="441"/>
      <c r="H28" s="441">
        <v>16993</v>
      </c>
      <c r="I28" s="441"/>
      <c r="J28" s="441">
        <v>0</v>
      </c>
      <c r="K28" s="441"/>
      <c r="L28" s="441">
        <v>1243</v>
      </c>
      <c r="M28" s="441"/>
      <c r="N28" s="441">
        <v>224</v>
      </c>
      <c r="O28" s="441"/>
      <c r="P28" s="441">
        <f t="shared" si="1"/>
        <v>1467</v>
      </c>
      <c r="R28" s="441">
        <f t="shared" si="0"/>
        <v>18460</v>
      </c>
      <c r="T28" s="442">
        <v>12.5</v>
      </c>
      <c r="U28" s="253"/>
      <c r="Y28" s="433">
        <v>347</v>
      </c>
      <c r="AA28" s="111" t="s">
        <v>521</v>
      </c>
    </row>
    <row r="29" spans="1:27" x14ac:dyDescent="0.35">
      <c r="A29" s="236"/>
      <c r="B29" s="434">
        <v>3465</v>
      </c>
      <c r="D29" s="111" t="s">
        <v>522</v>
      </c>
      <c r="F29" s="441">
        <v>41723</v>
      </c>
      <c r="G29" s="441"/>
      <c r="H29" s="441">
        <v>24595</v>
      </c>
      <c r="I29" s="441"/>
      <c r="J29" s="441">
        <v>0</v>
      </c>
      <c r="K29" s="441"/>
      <c r="L29" s="441">
        <v>3702</v>
      </c>
      <c r="M29" s="441"/>
      <c r="N29" s="441">
        <v>0</v>
      </c>
      <c r="O29" s="441"/>
      <c r="P29" s="441">
        <f t="shared" si="1"/>
        <v>3702</v>
      </c>
      <c r="R29" s="441">
        <f t="shared" si="0"/>
        <v>28297</v>
      </c>
      <c r="T29" s="113">
        <v>10</v>
      </c>
      <c r="U29" s="253"/>
    </row>
    <row r="30" spans="1:27" x14ac:dyDescent="0.35">
      <c r="A30" s="236"/>
      <c r="B30" s="434">
        <v>3475</v>
      </c>
      <c r="D30" s="111" t="s">
        <v>523</v>
      </c>
      <c r="F30" s="441">
        <v>4759</v>
      </c>
      <c r="G30" s="441"/>
      <c r="H30" s="441">
        <v>4668</v>
      </c>
      <c r="I30" s="441"/>
      <c r="J30" s="441">
        <v>0</v>
      </c>
      <c r="K30" s="441"/>
      <c r="L30" s="441">
        <v>0</v>
      </c>
      <c r="M30" s="441"/>
      <c r="N30" s="441">
        <v>62</v>
      </c>
      <c r="O30" s="441"/>
      <c r="P30" s="441">
        <f t="shared" si="1"/>
        <v>62</v>
      </c>
      <c r="R30" s="441">
        <f t="shared" si="0"/>
        <v>4730</v>
      </c>
      <c r="T30" s="113">
        <v>10</v>
      </c>
      <c r="U30" s="253"/>
    </row>
    <row r="31" spans="1:27" x14ac:dyDescent="0.35">
      <c r="A31" s="236"/>
      <c r="B31" s="434">
        <v>3485</v>
      </c>
      <c r="D31" s="111" t="s">
        <v>523</v>
      </c>
      <c r="F31" s="441">
        <v>6888</v>
      </c>
      <c r="G31" s="441"/>
      <c r="H31" s="441">
        <v>5708</v>
      </c>
      <c r="I31" s="441"/>
      <c r="J31" s="441">
        <v>0</v>
      </c>
      <c r="K31" s="441"/>
      <c r="L31" s="441">
        <v>132</v>
      </c>
      <c r="M31" s="441"/>
      <c r="N31" s="441">
        <v>0</v>
      </c>
      <c r="O31" s="441"/>
      <c r="P31" s="441">
        <f t="shared" si="1"/>
        <v>132</v>
      </c>
      <c r="R31" s="441">
        <f t="shared" si="0"/>
        <v>5840</v>
      </c>
      <c r="T31" s="113">
        <v>50</v>
      </c>
      <c r="U31" s="253"/>
      <c r="Y31" s="433">
        <v>347</v>
      </c>
      <c r="AA31" s="111" t="s">
        <v>524</v>
      </c>
    </row>
    <row r="32" spans="1:27" ht="13.9" thickBot="1" x14ac:dyDescent="0.4">
      <c r="A32" s="236"/>
      <c r="F32" s="443">
        <f>SUM(F7:F31)</f>
        <v>33081386</v>
      </c>
      <c r="H32" s="443">
        <f>SUM(H8:H31)</f>
        <v>13062536</v>
      </c>
      <c r="I32" s="444"/>
      <c r="J32" s="443">
        <f>SUM(J8:J31)</f>
        <v>-10988</v>
      </c>
      <c r="L32" s="443">
        <f>SUM(L8:L31)</f>
        <v>903606</v>
      </c>
      <c r="N32" s="443">
        <f>SUM(N8:N31)</f>
        <v>555623</v>
      </c>
      <c r="P32" s="443">
        <f>SUM(P8:P31)</f>
        <v>1459229</v>
      </c>
      <c r="R32" s="443">
        <f>SUM(R8:R31)</f>
        <v>14510777</v>
      </c>
      <c r="U32" s="253"/>
    </row>
    <row r="33" spans="1:21" ht="13.9" thickTop="1" x14ac:dyDescent="0.35">
      <c r="A33" s="237"/>
      <c r="B33" s="436"/>
      <c r="C33" s="234"/>
      <c r="D33" s="234"/>
      <c r="E33" s="234"/>
      <c r="F33" s="235"/>
      <c r="G33" s="234"/>
      <c r="H33" s="235"/>
      <c r="I33" s="235"/>
      <c r="J33" s="235"/>
      <c r="K33" s="234"/>
      <c r="L33" s="235"/>
      <c r="M33" s="234"/>
      <c r="N33" s="235"/>
      <c r="O33" s="234"/>
      <c r="P33" s="235"/>
      <c r="Q33" s="234"/>
      <c r="R33" s="235"/>
      <c r="S33" s="234"/>
      <c r="T33" s="115"/>
      <c r="U33" s="445"/>
    </row>
    <row r="35" spans="1:21" x14ac:dyDescent="0.35">
      <c r="B35" s="434" t="s">
        <v>200</v>
      </c>
      <c r="D35" s="111" t="s">
        <v>480</v>
      </c>
      <c r="P35" s="112">
        <f>-N32</f>
        <v>-555623</v>
      </c>
    </row>
    <row r="37" spans="1:21" x14ac:dyDescent="0.35">
      <c r="B37" s="434" t="s">
        <v>209</v>
      </c>
      <c r="D37" s="446" t="s">
        <v>525</v>
      </c>
      <c r="F37" s="111"/>
      <c r="H37" s="111"/>
      <c r="I37" s="111"/>
      <c r="J37" s="111"/>
      <c r="L37" s="111"/>
      <c r="N37" s="111"/>
      <c r="P37" s="111"/>
    </row>
    <row r="38" spans="1:21" x14ac:dyDescent="0.35">
      <c r="D38" s="111" t="s">
        <v>448</v>
      </c>
      <c r="P38" s="112">
        <v>87240</v>
      </c>
    </row>
    <row r="39" spans="1:21" x14ac:dyDescent="0.35">
      <c r="D39" s="111" t="s">
        <v>453</v>
      </c>
      <c r="P39" s="112">
        <v>4849</v>
      </c>
    </row>
    <row r="40" spans="1:21" x14ac:dyDescent="0.35">
      <c r="D40" s="111" t="s">
        <v>454</v>
      </c>
      <c r="P40" s="112">
        <v>1372</v>
      </c>
    </row>
    <row r="41" spans="1:21" x14ac:dyDescent="0.35">
      <c r="D41" s="111" t="s">
        <v>455</v>
      </c>
      <c r="P41" s="112">
        <v>7516</v>
      </c>
    </row>
    <row r="42" spans="1:21" x14ac:dyDescent="0.35">
      <c r="D42" s="111" t="s">
        <v>456</v>
      </c>
      <c r="P42" s="112">
        <v>1961</v>
      </c>
    </row>
    <row r="43" spans="1:21" x14ac:dyDescent="0.35">
      <c r="D43" s="111" t="s">
        <v>457</v>
      </c>
      <c r="P43" s="112">
        <v>1742</v>
      </c>
    </row>
    <row r="45" spans="1:21" x14ac:dyDescent="0.35">
      <c r="B45" s="434" t="s">
        <v>209</v>
      </c>
      <c r="D45" s="446" t="s">
        <v>481</v>
      </c>
      <c r="P45" s="112">
        <f>+N85</f>
        <v>75655</v>
      </c>
    </row>
    <row r="47" spans="1:21" x14ac:dyDescent="0.35">
      <c r="B47" s="447" t="s">
        <v>198</v>
      </c>
      <c r="C47" s="448"/>
      <c r="D47" s="448" t="s">
        <v>526</v>
      </c>
      <c r="P47" s="449">
        <f>SUM(P35:P46)</f>
        <v>-375288</v>
      </c>
    </row>
    <row r="49" spans="1:21" ht="13.9" thickBot="1" x14ac:dyDescent="0.4">
      <c r="B49" s="434" t="s">
        <v>527</v>
      </c>
      <c r="D49" s="111" t="s">
        <v>528</v>
      </c>
      <c r="P49" s="450">
        <f>+P32+P47</f>
        <v>1083941</v>
      </c>
    </row>
    <row r="50" spans="1:21" ht="13.9" thickTop="1" x14ac:dyDescent="0.35"/>
    <row r="53" spans="1:21" ht="15" x14ac:dyDescent="0.4"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</row>
    <row r="54" spans="1:21" ht="22.15" x14ac:dyDescent="0.55000000000000004">
      <c r="A54" s="251"/>
      <c r="B54" s="626" t="s">
        <v>529</v>
      </c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626"/>
      <c r="S54" s="626"/>
      <c r="T54" s="626"/>
      <c r="U54" s="252"/>
    </row>
    <row r="55" spans="1:21" ht="22.15" x14ac:dyDescent="0.55000000000000004">
      <c r="A55" s="236"/>
      <c r="B55" s="624" t="s">
        <v>483</v>
      </c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625"/>
      <c r="U55" s="253"/>
    </row>
    <row r="56" spans="1:21" x14ac:dyDescent="0.35">
      <c r="A56" s="236"/>
      <c r="U56" s="253"/>
    </row>
    <row r="57" spans="1:21" x14ac:dyDescent="0.35">
      <c r="A57" s="236"/>
      <c r="B57" s="434" t="s">
        <v>484</v>
      </c>
      <c r="F57" s="435" t="s">
        <v>485</v>
      </c>
      <c r="H57" s="435" t="s">
        <v>486</v>
      </c>
      <c r="I57" s="435"/>
      <c r="J57" s="435" t="s">
        <v>530</v>
      </c>
      <c r="L57" s="113">
        <v>2023</v>
      </c>
      <c r="N57" s="113" t="s">
        <v>531</v>
      </c>
      <c r="P57" s="113" t="s">
        <v>532</v>
      </c>
      <c r="R57" s="435" t="s">
        <v>486</v>
      </c>
      <c r="T57" s="113" t="s">
        <v>490</v>
      </c>
      <c r="U57" s="253"/>
    </row>
    <row r="58" spans="1:21" x14ac:dyDescent="0.35">
      <c r="A58" s="236"/>
      <c r="B58" s="436" t="s">
        <v>155</v>
      </c>
      <c r="D58" s="114" t="s">
        <v>491</v>
      </c>
      <c r="F58" s="437" t="s">
        <v>533</v>
      </c>
      <c r="H58" s="438">
        <v>44927</v>
      </c>
      <c r="I58" s="439"/>
      <c r="J58" s="438" t="s">
        <v>493</v>
      </c>
      <c r="L58" s="437" t="s">
        <v>494</v>
      </c>
      <c r="N58" s="437" t="s">
        <v>495</v>
      </c>
      <c r="P58" s="437" t="s">
        <v>496</v>
      </c>
      <c r="R58" s="438">
        <v>45291</v>
      </c>
      <c r="T58" s="115" t="s">
        <v>243</v>
      </c>
      <c r="U58" s="253"/>
    </row>
    <row r="59" spans="1:21" x14ac:dyDescent="0.35">
      <c r="A59" s="236"/>
      <c r="B59" s="434">
        <v>303</v>
      </c>
      <c r="D59" s="111" t="s">
        <v>497</v>
      </c>
      <c r="F59" s="440">
        <f>28714+60172+12130+505</f>
        <v>101521</v>
      </c>
      <c r="U59" s="253"/>
    </row>
    <row r="60" spans="1:21" x14ac:dyDescent="0.35">
      <c r="A60" s="236"/>
      <c r="B60" s="434">
        <v>3042</v>
      </c>
      <c r="D60" s="111" t="s">
        <v>499</v>
      </c>
      <c r="F60" s="441">
        <v>936214</v>
      </c>
      <c r="H60" s="440">
        <v>425713</v>
      </c>
      <c r="I60" s="440"/>
      <c r="J60" s="440">
        <v>0</v>
      </c>
      <c r="L60" s="440">
        <v>39325</v>
      </c>
      <c r="N60" s="440">
        <v>0</v>
      </c>
      <c r="P60" s="440">
        <f>+L60+N60</f>
        <v>39325</v>
      </c>
      <c r="R60" s="440">
        <f>+H60+P60+J60</f>
        <v>465038</v>
      </c>
      <c r="T60" s="442">
        <v>37.5</v>
      </c>
      <c r="U60" s="253"/>
    </row>
    <row r="61" spans="1:21" x14ac:dyDescent="0.35">
      <c r="A61" s="236"/>
      <c r="B61" s="434">
        <v>3043</v>
      </c>
      <c r="D61" s="111" t="s">
        <v>499</v>
      </c>
      <c r="F61" s="441">
        <v>397195</v>
      </c>
      <c r="G61" s="441"/>
      <c r="H61" s="441">
        <v>127380</v>
      </c>
      <c r="I61" s="441"/>
      <c r="J61" s="441">
        <v>0</v>
      </c>
      <c r="K61" s="441"/>
      <c r="L61" s="441">
        <v>14857</v>
      </c>
      <c r="M61" s="441"/>
      <c r="N61" s="441"/>
      <c r="O61" s="441"/>
      <c r="P61" s="441">
        <f>+L61+N61</f>
        <v>14857</v>
      </c>
      <c r="R61" s="441">
        <f>+H61+P61+J61</f>
        <v>142237</v>
      </c>
      <c r="T61" s="442">
        <v>37.5</v>
      </c>
      <c r="U61" s="253"/>
    </row>
    <row r="62" spans="1:21" x14ac:dyDescent="0.35">
      <c r="A62" s="236"/>
      <c r="B62" s="434">
        <v>3045</v>
      </c>
      <c r="D62" s="111" t="s">
        <v>499</v>
      </c>
      <c r="F62" s="441">
        <v>385991</v>
      </c>
      <c r="G62" s="441"/>
      <c r="H62" s="441">
        <v>179922</v>
      </c>
      <c r="I62" s="441"/>
      <c r="J62" s="441">
        <v>0</v>
      </c>
      <c r="K62" s="441"/>
      <c r="L62" s="441">
        <v>11137</v>
      </c>
      <c r="M62" s="441"/>
      <c r="N62" s="441"/>
      <c r="O62" s="441"/>
      <c r="P62" s="441">
        <f t="shared" ref="P62:P84" si="2">+L62+N62</f>
        <v>11137</v>
      </c>
      <c r="R62" s="441">
        <f t="shared" ref="R62:R84" si="3">+H62+P62+J62</f>
        <v>191059</v>
      </c>
      <c r="T62" s="442">
        <v>37.5</v>
      </c>
      <c r="U62" s="253"/>
    </row>
    <row r="63" spans="1:21" x14ac:dyDescent="0.35">
      <c r="A63" s="236"/>
      <c r="B63" s="434">
        <v>3065</v>
      </c>
      <c r="D63" s="111" t="s">
        <v>501</v>
      </c>
      <c r="F63" s="441">
        <v>31560</v>
      </c>
      <c r="G63" s="441"/>
      <c r="H63" s="441">
        <v>10318</v>
      </c>
      <c r="I63" s="441"/>
      <c r="J63" s="441">
        <v>0</v>
      </c>
      <c r="K63" s="441"/>
      <c r="L63" s="441">
        <v>636</v>
      </c>
      <c r="M63" s="441"/>
      <c r="N63" s="441"/>
      <c r="O63" s="441"/>
      <c r="P63" s="441">
        <f t="shared" si="2"/>
        <v>636</v>
      </c>
      <c r="R63" s="441">
        <f t="shared" si="3"/>
        <v>10954</v>
      </c>
      <c r="T63" s="113">
        <v>50</v>
      </c>
      <c r="U63" s="253"/>
    </row>
    <row r="64" spans="1:21" x14ac:dyDescent="0.35">
      <c r="A64" s="236"/>
      <c r="B64" s="434">
        <v>3095</v>
      </c>
      <c r="D64" s="111" t="s">
        <v>502</v>
      </c>
      <c r="F64" s="441">
        <v>3067</v>
      </c>
      <c r="G64" s="441"/>
      <c r="H64" s="441">
        <v>2611</v>
      </c>
      <c r="I64" s="441"/>
      <c r="J64" s="441">
        <v>0</v>
      </c>
      <c r="K64" s="441"/>
      <c r="L64" s="441">
        <v>61</v>
      </c>
      <c r="M64" s="441"/>
      <c r="N64" s="441"/>
      <c r="O64" s="441"/>
      <c r="P64" s="441">
        <f t="shared" si="2"/>
        <v>61</v>
      </c>
      <c r="R64" s="441">
        <f t="shared" si="3"/>
        <v>2672</v>
      </c>
      <c r="T64" s="113">
        <v>50</v>
      </c>
      <c r="U64" s="253"/>
    </row>
    <row r="65" spans="1:21" x14ac:dyDescent="0.35">
      <c r="A65" s="236"/>
      <c r="B65" s="434">
        <v>311</v>
      </c>
      <c r="D65" s="111" t="s">
        <v>503</v>
      </c>
      <c r="F65" s="441">
        <f>182300+40570</f>
        <v>222870</v>
      </c>
      <c r="G65" s="441"/>
      <c r="H65" s="441">
        <v>207923</v>
      </c>
      <c r="I65" s="441"/>
      <c r="J65" s="441">
        <v>0</v>
      </c>
      <c r="K65" s="441"/>
      <c r="L65" s="441">
        <v>1717</v>
      </c>
      <c r="M65" s="441"/>
      <c r="N65" s="441"/>
      <c r="O65" s="441"/>
      <c r="P65" s="441">
        <f t="shared" si="2"/>
        <v>1717</v>
      </c>
      <c r="R65" s="441">
        <f t="shared" si="3"/>
        <v>209640</v>
      </c>
      <c r="T65" s="113">
        <v>20</v>
      </c>
      <c r="U65" s="253"/>
    </row>
    <row r="66" spans="1:21" x14ac:dyDescent="0.35">
      <c r="A66" s="236"/>
      <c r="B66" s="434">
        <v>320</v>
      </c>
      <c r="D66" s="111" t="s">
        <v>504</v>
      </c>
      <c r="F66" s="441">
        <f>4939969+32112</f>
        <v>4972081</v>
      </c>
      <c r="G66" s="441"/>
      <c r="H66" s="441">
        <v>2083723</v>
      </c>
      <c r="I66" s="441"/>
      <c r="J66" s="441">
        <v>0</v>
      </c>
      <c r="K66" s="441"/>
      <c r="L66" s="441">
        <f>266442+60</f>
        <v>266502</v>
      </c>
      <c r="M66" s="441"/>
      <c r="N66" s="441"/>
      <c r="O66" s="441"/>
      <c r="P66" s="441">
        <f t="shared" si="2"/>
        <v>266502</v>
      </c>
      <c r="R66" s="441">
        <f t="shared" si="3"/>
        <v>2350225</v>
      </c>
      <c r="T66" s="442">
        <v>27.5</v>
      </c>
      <c r="U66" s="253"/>
    </row>
    <row r="67" spans="1:21" x14ac:dyDescent="0.35">
      <c r="A67" s="236"/>
      <c r="B67" s="434">
        <v>3304</v>
      </c>
      <c r="D67" s="111" t="s">
        <v>505</v>
      </c>
      <c r="F67" s="441">
        <v>4187806</v>
      </c>
      <c r="G67" s="441"/>
      <c r="H67" s="441">
        <v>1643677</v>
      </c>
      <c r="I67" s="441"/>
      <c r="J67" s="441">
        <v>0</v>
      </c>
      <c r="K67" s="441"/>
      <c r="L67" s="441">
        <v>130955</v>
      </c>
      <c r="M67" s="441"/>
      <c r="N67" s="441"/>
      <c r="O67" s="441"/>
      <c r="P67" s="441">
        <f t="shared" si="2"/>
        <v>130955</v>
      </c>
      <c r="R67" s="441">
        <f t="shared" si="3"/>
        <v>1774632</v>
      </c>
      <c r="T67" s="113">
        <v>45</v>
      </c>
      <c r="U67" s="253"/>
    </row>
    <row r="68" spans="1:21" x14ac:dyDescent="0.35">
      <c r="A68" s="236"/>
      <c r="B68" s="434">
        <v>3314</v>
      </c>
      <c r="D68" s="111" t="s">
        <v>506</v>
      </c>
      <c r="F68" s="441">
        <v>15292820</v>
      </c>
      <c r="G68" s="441"/>
      <c r="H68" s="441">
        <v>7139365</v>
      </c>
      <c r="I68" s="441"/>
      <c r="J68" s="441">
        <v>0</v>
      </c>
      <c r="K68" s="441"/>
      <c r="L68" s="441">
        <v>194184</v>
      </c>
      <c r="M68" s="441"/>
      <c r="N68" s="441"/>
      <c r="O68" s="441"/>
      <c r="P68" s="441">
        <f t="shared" si="2"/>
        <v>194184</v>
      </c>
      <c r="R68" s="441">
        <f t="shared" si="3"/>
        <v>7333549</v>
      </c>
      <c r="T68" s="442">
        <v>62.5</v>
      </c>
      <c r="U68" s="253"/>
    </row>
    <row r="69" spans="1:21" x14ac:dyDescent="0.35">
      <c r="A69" s="236"/>
      <c r="B69" s="434">
        <v>3324</v>
      </c>
      <c r="D69" s="111" t="s">
        <v>507</v>
      </c>
      <c r="F69" s="441">
        <v>35794</v>
      </c>
      <c r="G69" s="441"/>
      <c r="H69" s="441">
        <v>308129</v>
      </c>
      <c r="I69" s="441"/>
      <c r="J69" s="441">
        <v>-308500.53000000003</v>
      </c>
      <c r="K69" s="441"/>
      <c r="L69" s="441">
        <v>4026</v>
      </c>
      <c r="M69" s="441"/>
      <c r="N69" s="441"/>
      <c r="O69" s="441"/>
      <c r="P69" s="441">
        <f t="shared" si="2"/>
        <v>4026</v>
      </c>
      <c r="R69" s="441">
        <f t="shared" si="3"/>
        <v>3654.4699999999721</v>
      </c>
      <c r="T69" s="113">
        <v>10</v>
      </c>
      <c r="U69" s="253"/>
    </row>
    <row r="70" spans="1:21" x14ac:dyDescent="0.35">
      <c r="A70" s="236"/>
      <c r="B70" s="434">
        <v>3334</v>
      </c>
      <c r="D70" s="111" t="s">
        <v>508</v>
      </c>
      <c r="F70" s="441">
        <v>1627145</v>
      </c>
      <c r="G70" s="441"/>
      <c r="H70" s="441">
        <v>444389</v>
      </c>
      <c r="I70" s="441"/>
      <c r="J70" s="441">
        <v>0</v>
      </c>
      <c r="K70" s="441"/>
      <c r="L70" s="441">
        <v>55710</v>
      </c>
      <c r="M70" s="441"/>
      <c r="N70" s="441"/>
      <c r="O70" s="441"/>
      <c r="P70" s="441">
        <f t="shared" si="2"/>
        <v>55710</v>
      </c>
      <c r="R70" s="441">
        <f t="shared" si="3"/>
        <v>500099</v>
      </c>
      <c r="T70" s="113">
        <v>40</v>
      </c>
      <c r="U70" s="253"/>
    </row>
    <row r="71" spans="1:21" x14ac:dyDescent="0.35">
      <c r="A71" s="236"/>
      <c r="B71" s="434">
        <v>3344</v>
      </c>
      <c r="D71" s="111" t="s">
        <v>510</v>
      </c>
      <c r="F71" s="441">
        <f>2821970-635229-3796</f>
        <v>2182945</v>
      </c>
      <c r="G71" s="441"/>
      <c r="H71" s="441">
        <v>881338</v>
      </c>
      <c r="I71" s="441"/>
      <c r="J71" s="441">
        <v>0</v>
      </c>
      <c r="K71" s="441"/>
      <c r="L71" s="441">
        <f>207890-75655-39</f>
        <v>132196</v>
      </c>
      <c r="M71" s="441"/>
      <c r="N71" s="441"/>
      <c r="O71" s="441"/>
      <c r="P71" s="441">
        <f t="shared" si="2"/>
        <v>132196</v>
      </c>
      <c r="R71" s="441">
        <f t="shared" si="3"/>
        <v>1013534</v>
      </c>
      <c r="T71" s="113">
        <v>20</v>
      </c>
      <c r="U71" s="253"/>
    </row>
    <row r="72" spans="1:21" x14ac:dyDescent="0.35">
      <c r="A72" s="236"/>
      <c r="B72" s="434">
        <v>3344</v>
      </c>
      <c r="D72" s="111" t="s">
        <v>534</v>
      </c>
      <c r="F72" s="441">
        <f>635229+3796</f>
        <v>639025</v>
      </c>
      <c r="G72" s="441"/>
      <c r="H72" s="441"/>
      <c r="I72" s="441"/>
      <c r="J72" s="441">
        <v>0</v>
      </c>
      <c r="K72" s="441"/>
      <c r="L72" s="441">
        <v>39</v>
      </c>
      <c r="M72" s="441"/>
      <c r="N72" s="441">
        <v>75655</v>
      </c>
      <c r="O72" s="441"/>
      <c r="P72" s="441">
        <f t="shared" si="2"/>
        <v>75694</v>
      </c>
      <c r="R72" s="441">
        <f t="shared" si="3"/>
        <v>75694</v>
      </c>
      <c r="T72" s="113">
        <v>10</v>
      </c>
      <c r="U72" s="253"/>
    </row>
    <row r="73" spans="1:21" x14ac:dyDescent="0.35">
      <c r="A73" s="236"/>
      <c r="B73" s="434">
        <v>3345</v>
      </c>
      <c r="D73" s="111" t="s">
        <v>511</v>
      </c>
      <c r="F73" s="441">
        <v>1173940</v>
      </c>
      <c r="G73" s="441"/>
      <c r="H73" s="441">
        <v>614731</v>
      </c>
      <c r="I73" s="441"/>
      <c r="J73" s="441">
        <v>0</v>
      </c>
      <c r="K73" s="441"/>
      <c r="L73" s="441">
        <v>33416</v>
      </c>
      <c r="M73" s="441"/>
      <c r="N73" s="441"/>
      <c r="O73" s="441"/>
      <c r="P73" s="441">
        <f t="shared" si="2"/>
        <v>33416</v>
      </c>
      <c r="R73" s="441">
        <f t="shared" si="3"/>
        <v>648147</v>
      </c>
      <c r="T73" s="113">
        <v>45</v>
      </c>
      <c r="U73" s="253"/>
    </row>
    <row r="74" spans="1:21" x14ac:dyDescent="0.35">
      <c r="A74" s="236"/>
      <c r="B74" s="434">
        <v>3354</v>
      </c>
      <c r="D74" s="111" t="s">
        <v>512</v>
      </c>
      <c r="F74" s="441">
        <v>203500</v>
      </c>
      <c r="G74" s="441"/>
      <c r="H74" s="441">
        <v>82114</v>
      </c>
      <c r="I74" s="441"/>
      <c r="J74" s="441">
        <v>0</v>
      </c>
      <c r="K74" s="441"/>
      <c r="L74" s="441">
        <v>4018</v>
      </c>
      <c r="M74" s="441"/>
      <c r="N74" s="441"/>
      <c r="O74" s="441"/>
      <c r="P74" s="441">
        <f t="shared" si="2"/>
        <v>4018</v>
      </c>
      <c r="R74" s="441">
        <f t="shared" si="3"/>
        <v>86132</v>
      </c>
      <c r="T74" s="113">
        <v>50</v>
      </c>
      <c r="U74" s="253"/>
    </row>
    <row r="75" spans="1:21" x14ac:dyDescent="0.35">
      <c r="A75" s="236"/>
      <c r="B75" s="434">
        <v>3392</v>
      </c>
      <c r="D75" s="111" t="s">
        <v>513</v>
      </c>
      <c r="F75" s="441">
        <v>2569</v>
      </c>
      <c r="G75" s="441"/>
      <c r="H75" s="441">
        <v>2077</v>
      </c>
      <c r="I75" s="441"/>
      <c r="J75" s="441">
        <v>0</v>
      </c>
      <c r="K75" s="441"/>
      <c r="L75" s="441">
        <v>49</v>
      </c>
      <c r="M75" s="441"/>
      <c r="N75" s="441"/>
      <c r="O75" s="441"/>
      <c r="P75" s="441">
        <f t="shared" si="2"/>
        <v>49</v>
      </c>
      <c r="R75" s="441">
        <f t="shared" si="3"/>
        <v>2126</v>
      </c>
      <c r="T75" s="113">
        <v>50</v>
      </c>
      <c r="U75" s="253"/>
    </row>
    <row r="76" spans="1:21" x14ac:dyDescent="0.35">
      <c r="A76" s="236"/>
      <c r="B76" s="434">
        <v>3400</v>
      </c>
      <c r="D76" s="111" t="s">
        <v>514</v>
      </c>
      <c r="F76" s="441">
        <f>221984-127570</f>
        <v>94414</v>
      </c>
      <c r="G76" s="441"/>
      <c r="H76" s="441">
        <v>57627</v>
      </c>
      <c r="I76" s="441"/>
      <c r="J76" s="441">
        <v>0</v>
      </c>
      <c r="K76" s="441"/>
      <c r="L76" s="441">
        <f>-8505+17384</f>
        <v>8879</v>
      </c>
      <c r="M76" s="441"/>
      <c r="N76" s="441"/>
      <c r="O76" s="441"/>
      <c r="P76" s="441">
        <f t="shared" si="2"/>
        <v>8879</v>
      </c>
      <c r="R76" s="441">
        <f t="shared" si="3"/>
        <v>66506</v>
      </c>
      <c r="T76" s="113">
        <v>5</v>
      </c>
      <c r="U76" s="253"/>
    </row>
    <row r="77" spans="1:21" x14ac:dyDescent="0.35">
      <c r="A77" s="236"/>
      <c r="B77" s="434">
        <v>3400</v>
      </c>
      <c r="D77" s="111" t="s">
        <v>516</v>
      </c>
      <c r="F77" s="441">
        <f>117603+6601+865+180+2321</f>
        <v>127570</v>
      </c>
      <c r="G77" s="441"/>
      <c r="H77" s="441">
        <v>88490</v>
      </c>
      <c r="I77" s="441"/>
      <c r="J77" s="441">
        <v>0</v>
      </c>
      <c r="K77" s="441"/>
      <c r="L77" s="441">
        <f>7840+440+58+12+155</f>
        <v>8505</v>
      </c>
      <c r="M77" s="441"/>
      <c r="N77" s="441"/>
      <c r="O77" s="441"/>
      <c r="P77" s="441">
        <f t="shared" si="2"/>
        <v>8505</v>
      </c>
      <c r="R77" s="441">
        <f t="shared" si="3"/>
        <v>96995</v>
      </c>
      <c r="T77" s="113">
        <v>15</v>
      </c>
      <c r="U77" s="253"/>
    </row>
    <row r="78" spans="1:21" x14ac:dyDescent="0.35">
      <c r="A78" s="236"/>
      <c r="B78" s="434">
        <v>3401</v>
      </c>
      <c r="D78" s="111" t="s">
        <v>517</v>
      </c>
      <c r="F78" s="441">
        <v>47112</v>
      </c>
      <c r="G78" s="441"/>
      <c r="H78" s="441">
        <v>52246</v>
      </c>
      <c r="I78" s="441"/>
      <c r="J78" s="441">
        <v>-13654.06</v>
      </c>
      <c r="K78" s="441"/>
      <c r="L78" s="441">
        <v>3354</v>
      </c>
      <c r="M78" s="441"/>
      <c r="N78" s="441"/>
      <c r="O78" s="441"/>
      <c r="P78" s="441">
        <f t="shared" si="2"/>
        <v>3354</v>
      </c>
      <c r="R78" s="441">
        <f t="shared" si="3"/>
        <v>41945.94</v>
      </c>
      <c r="T78" s="113">
        <v>5</v>
      </c>
      <c r="U78" s="253"/>
    </row>
    <row r="79" spans="1:21" x14ac:dyDescent="0.35">
      <c r="A79" s="236"/>
      <c r="B79" s="434">
        <v>3405</v>
      </c>
      <c r="D79" s="111" t="s">
        <v>515</v>
      </c>
      <c r="F79" s="441">
        <v>78370</v>
      </c>
      <c r="G79" s="441"/>
      <c r="H79" s="441">
        <v>64555</v>
      </c>
      <c r="I79" s="441"/>
      <c r="J79" s="441">
        <v>-13083</v>
      </c>
      <c r="K79" s="441"/>
      <c r="L79" s="441">
        <v>1401</v>
      </c>
      <c r="M79" s="441"/>
      <c r="N79" s="441"/>
      <c r="O79" s="441"/>
      <c r="P79" s="441">
        <f t="shared" si="2"/>
        <v>1401</v>
      </c>
      <c r="R79" s="441">
        <f t="shared" si="3"/>
        <v>52873</v>
      </c>
      <c r="T79" s="442">
        <v>22.5</v>
      </c>
      <c r="U79" s="253"/>
    </row>
    <row r="80" spans="1:21" x14ac:dyDescent="0.35">
      <c r="A80" s="236"/>
      <c r="B80" s="434">
        <v>3415</v>
      </c>
      <c r="D80" s="111" t="s">
        <v>519</v>
      </c>
      <c r="F80" s="441">
        <v>55626</v>
      </c>
      <c r="G80" s="441"/>
      <c r="H80" s="441">
        <v>37122</v>
      </c>
      <c r="I80" s="441"/>
      <c r="J80" s="441">
        <v>0</v>
      </c>
      <c r="K80" s="441"/>
      <c r="L80" s="441">
        <v>4018</v>
      </c>
      <c r="M80" s="441"/>
      <c r="N80" s="441"/>
      <c r="O80" s="441"/>
      <c r="P80" s="441">
        <f t="shared" si="2"/>
        <v>4018</v>
      </c>
      <c r="R80" s="441">
        <f t="shared" si="3"/>
        <v>41140</v>
      </c>
      <c r="T80" s="113">
        <v>7</v>
      </c>
      <c r="U80" s="253"/>
    </row>
    <row r="81" spans="1:21" x14ac:dyDescent="0.35">
      <c r="A81" s="236"/>
      <c r="B81" s="434">
        <v>3435</v>
      </c>
      <c r="D81" s="111" t="s">
        <v>520</v>
      </c>
      <c r="F81" s="441">
        <v>30238</v>
      </c>
      <c r="G81" s="441"/>
      <c r="H81" s="441">
        <v>18460</v>
      </c>
      <c r="I81" s="441"/>
      <c r="J81" s="441">
        <v>0</v>
      </c>
      <c r="K81" s="441"/>
      <c r="L81" s="441">
        <v>1219</v>
      </c>
      <c r="M81" s="441"/>
      <c r="N81" s="441"/>
      <c r="O81" s="441"/>
      <c r="P81" s="441">
        <f t="shared" si="2"/>
        <v>1219</v>
      </c>
      <c r="R81" s="441">
        <f t="shared" si="3"/>
        <v>19679</v>
      </c>
      <c r="T81" s="442">
        <v>12.5</v>
      </c>
      <c r="U81" s="253"/>
    </row>
    <row r="82" spans="1:21" x14ac:dyDescent="0.35">
      <c r="A82" s="236"/>
      <c r="B82" s="434">
        <v>3465</v>
      </c>
      <c r="D82" s="111" t="s">
        <v>522</v>
      </c>
      <c r="F82" s="441">
        <v>41723</v>
      </c>
      <c r="G82" s="441"/>
      <c r="H82" s="441">
        <v>28297</v>
      </c>
      <c r="I82" s="441"/>
      <c r="J82" s="441">
        <v>0</v>
      </c>
      <c r="K82" s="441"/>
      <c r="L82" s="441">
        <v>3468</v>
      </c>
      <c r="M82" s="441"/>
      <c r="N82" s="441"/>
      <c r="O82" s="441"/>
      <c r="P82" s="441">
        <f t="shared" si="2"/>
        <v>3468</v>
      </c>
      <c r="R82" s="441">
        <f t="shared" si="3"/>
        <v>31765</v>
      </c>
      <c r="T82" s="113">
        <v>10</v>
      </c>
      <c r="U82" s="253"/>
    </row>
    <row r="83" spans="1:21" x14ac:dyDescent="0.35">
      <c r="A83" s="236"/>
      <c r="B83" s="434">
        <v>3475</v>
      </c>
      <c r="D83" s="111" t="s">
        <v>523</v>
      </c>
      <c r="F83" s="441">
        <v>0</v>
      </c>
      <c r="G83" s="441"/>
      <c r="H83" s="441">
        <v>4730</v>
      </c>
      <c r="I83" s="441"/>
      <c r="J83" s="441">
        <v>-4759</v>
      </c>
      <c r="K83" s="441"/>
      <c r="L83" s="441">
        <v>0</v>
      </c>
      <c r="M83" s="441"/>
      <c r="N83" s="441"/>
      <c r="O83" s="441"/>
      <c r="P83" s="441">
        <f t="shared" si="2"/>
        <v>0</v>
      </c>
      <c r="R83" s="441">
        <f t="shared" si="3"/>
        <v>-29</v>
      </c>
      <c r="T83" s="113">
        <v>10</v>
      </c>
      <c r="U83" s="253"/>
    </row>
    <row r="84" spans="1:21" x14ac:dyDescent="0.35">
      <c r="A84" s="236"/>
      <c r="B84" s="434">
        <v>3485</v>
      </c>
      <c r="D84" s="111" t="s">
        <v>523</v>
      </c>
      <c r="F84" s="441">
        <v>6888</v>
      </c>
      <c r="G84" s="441"/>
      <c r="H84" s="441">
        <v>5840</v>
      </c>
      <c r="I84" s="441"/>
      <c r="J84" s="441">
        <v>0</v>
      </c>
      <c r="K84" s="441"/>
      <c r="L84" s="441">
        <v>143</v>
      </c>
      <c r="M84" s="441"/>
      <c r="N84" s="441"/>
      <c r="O84" s="441"/>
      <c r="P84" s="441">
        <f t="shared" si="2"/>
        <v>143</v>
      </c>
      <c r="R84" s="441">
        <f t="shared" si="3"/>
        <v>5983</v>
      </c>
      <c r="T84" s="113">
        <v>50</v>
      </c>
      <c r="U84" s="253"/>
    </row>
    <row r="85" spans="1:21" ht="13.9" thickBot="1" x14ac:dyDescent="0.4">
      <c r="A85" s="236"/>
      <c r="F85" s="443">
        <f>SUM(F59:F84)</f>
        <v>32877984</v>
      </c>
      <c r="H85" s="443">
        <f>SUM(H60:H84)</f>
        <v>14510777</v>
      </c>
      <c r="I85" s="444"/>
      <c r="J85" s="443">
        <f>SUM(J60:J84)</f>
        <v>-339996.59</v>
      </c>
      <c r="L85" s="443">
        <f>SUM(L60:L84)</f>
        <v>919815</v>
      </c>
      <c r="N85" s="443">
        <f>SUM(N60:N84)</f>
        <v>75655</v>
      </c>
      <c r="P85" s="443">
        <f>SUM(P60:P84)</f>
        <v>995470</v>
      </c>
      <c r="R85" s="443">
        <f>SUM(R60:R84)</f>
        <v>15166250.41</v>
      </c>
      <c r="U85" s="253"/>
    </row>
    <row r="86" spans="1:21" ht="13.9" thickTop="1" x14ac:dyDescent="0.35">
      <c r="A86" s="237"/>
      <c r="B86" s="436"/>
      <c r="C86" s="234"/>
      <c r="D86" s="234"/>
      <c r="E86" s="234"/>
      <c r="F86" s="235">
        <v>32877984</v>
      </c>
      <c r="G86" s="234"/>
      <c r="H86" s="235">
        <v>14510777</v>
      </c>
      <c r="I86" s="235"/>
      <c r="J86" s="235">
        <v>-339996.59</v>
      </c>
      <c r="K86" s="234"/>
      <c r="L86" s="235">
        <v>919815</v>
      </c>
      <c r="M86" s="234"/>
      <c r="N86" s="235">
        <v>75655</v>
      </c>
      <c r="O86" s="234"/>
      <c r="P86" s="235">
        <v>995470</v>
      </c>
      <c r="Q86" s="234"/>
      <c r="R86" s="235">
        <v>15166250.41</v>
      </c>
      <c r="S86" s="234"/>
      <c r="T86" s="115"/>
      <c r="U86" s="445"/>
    </row>
    <row r="89" spans="1:21" ht="13.9" x14ac:dyDescent="0.4">
      <c r="D89" s="111" t="s">
        <v>535</v>
      </c>
      <c r="L89" s="451">
        <f>+L85</f>
        <v>919815</v>
      </c>
    </row>
    <row r="90" spans="1:21" ht="13.9" x14ac:dyDescent="0.4">
      <c r="D90" s="111" t="s">
        <v>536</v>
      </c>
      <c r="L90" s="451">
        <f>+N85</f>
        <v>75655</v>
      </c>
    </row>
    <row r="91" spans="1:21" ht="13.9" x14ac:dyDescent="0.4">
      <c r="D91" s="111" t="s">
        <v>537</v>
      </c>
      <c r="L91" s="451">
        <f>+L89+L90</f>
        <v>995470</v>
      </c>
      <c r="P91" s="451"/>
    </row>
  </sheetData>
  <mergeCells count="6">
    <mergeCell ref="B55:T55"/>
    <mergeCell ref="B1:T1"/>
    <mergeCell ref="B2:T2"/>
    <mergeCell ref="B3:T3"/>
    <mergeCell ref="B53:T53"/>
    <mergeCell ref="B54:T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79F8-5A93-4D9C-A06C-3907FD61B957}">
  <dimension ref="A1:X91"/>
  <sheetViews>
    <sheetView showGridLines="0" workbookViewId="0">
      <selection activeCell="A2" sqref="A2:R33"/>
    </sheetView>
  </sheetViews>
  <sheetFormatPr defaultColWidth="8.88671875" defaultRowHeight="13.5" x14ac:dyDescent="0.35"/>
  <cols>
    <col min="1" max="1" width="1.77734375" style="111" customWidth="1"/>
    <col min="2" max="2" width="7.33203125" style="434" customWidth="1"/>
    <col min="3" max="3" width="1.33203125" style="111" customWidth="1"/>
    <col min="4" max="4" width="31.21875" style="111" customWidth="1"/>
    <col min="5" max="5" width="1.33203125" style="111" customWidth="1"/>
    <col min="6" max="6" width="12.77734375" style="112" customWidth="1"/>
    <col min="7" max="7" width="1.33203125" style="111" customWidth="1"/>
    <col min="8" max="8" width="12.77734375" style="112" customWidth="1"/>
    <col min="9" max="9" width="1.6640625" style="112" customWidth="1"/>
    <col min="10" max="10" width="12.77734375" style="112" customWidth="1"/>
    <col min="11" max="11" width="1.33203125" style="111" customWidth="1"/>
    <col min="12" max="12" width="11.33203125" style="112" customWidth="1"/>
    <col min="13" max="13" width="1.33203125" style="111" customWidth="1"/>
    <col min="14" max="14" width="12.77734375" style="112" customWidth="1"/>
    <col min="15" max="16" width="1.33203125" style="111" customWidth="1"/>
    <col min="17" max="17" width="7.77734375" style="113" customWidth="1"/>
    <col min="18" max="21" width="1.33203125" style="111" customWidth="1"/>
    <col min="22" max="22" width="8.88671875" style="433"/>
    <col min="23" max="23" width="1.33203125" style="111" customWidth="1"/>
    <col min="24" max="24" width="32.21875" style="111" customWidth="1"/>
    <col min="25" max="16384" width="8.88671875" style="111"/>
  </cols>
  <sheetData>
    <row r="1" spans="1:24" ht="15" x14ac:dyDescent="0.4"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2" spans="1:24" ht="22.15" x14ac:dyDescent="0.55000000000000004">
      <c r="A2" s="251"/>
      <c r="B2" s="626" t="s">
        <v>482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252"/>
    </row>
    <row r="3" spans="1:24" ht="22.15" x14ac:dyDescent="0.55000000000000004">
      <c r="A3" s="236"/>
      <c r="B3" s="624" t="s">
        <v>483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253"/>
    </row>
    <row r="4" spans="1:24" x14ac:dyDescent="0.35">
      <c r="A4" s="236"/>
      <c r="R4" s="253"/>
    </row>
    <row r="5" spans="1:24" x14ac:dyDescent="0.35">
      <c r="A5" s="236"/>
      <c r="B5" s="434" t="s">
        <v>484</v>
      </c>
      <c r="F5" s="435" t="s">
        <v>485</v>
      </c>
      <c r="H5" s="435" t="s">
        <v>486</v>
      </c>
      <c r="I5" s="435"/>
      <c r="J5" s="113">
        <v>2022</v>
      </c>
      <c r="L5" s="113" t="s">
        <v>488</v>
      </c>
      <c r="N5" s="113" t="s">
        <v>489</v>
      </c>
      <c r="Q5" s="113" t="s">
        <v>490</v>
      </c>
      <c r="R5" s="253"/>
    </row>
    <row r="6" spans="1:24" x14ac:dyDescent="0.35">
      <c r="A6" s="236"/>
      <c r="B6" s="436" t="s">
        <v>155</v>
      </c>
      <c r="D6" s="114" t="s">
        <v>491</v>
      </c>
      <c r="F6" s="437" t="s">
        <v>492</v>
      </c>
      <c r="H6" s="438">
        <v>44562</v>
      </c>
      <c r="I6" s="439"/>
      <c r="J6" s="437" t="s">
        <v>494</v>
      </c>
      <c r="L6" s="437" t="s">
        <v>495</v>
      </c>
      <c r="N6" s="437" t="s">
        <v>496</v>
      </c>
      <c r="Q6" s="115" t="s">
        <v>243</v>
      </c>
      <c r="R6" s="253"/>
    </row>
    <row r="7" spans="1:24" x14ac:dyDescent="0.35">
      <c r="A7" s="236"/>
      <c r="B7" s="434">
        <v>303</v>
      </c>
      <c r="D7" s="111" t="s">
        <v>497</v>
      </c>
      <c r="F7" s="440">
        <f>28714+60172+12130+505</f>
        <v>101521</v>
      </c>
      <c r="R7" s="253"/>
      <c r="V7" s="433">
        <v>303</v>
      </c>
      <c r="X7" s="111" t="s">
        <v>498</v>
      </c>
    </row>
    <row r="8" spans="1:24" x14ac:dyDescent="0.35">
      <c r="A8" s="236"/>
      <c r="B8" s="434">
        <v>3042</v>
      </c>
      <c r="D8" s="111" t="s">
        <v>499</v>
      </c>
      <c r="F8" s="441">
        <v>936214</v>
      </c>
      <c r="H8" s="440">
        <f>177904+219822-9135</f>
        <v>388591</v>
      </c>
      <c r="I8" s="440"/>
      <c r="J8" s="440">
        <f>37098</f>
        <v>37098</v>
      </c>
      <c r="L8" s="440">
        <v>24</v>
      </c>
      <c r="N8" s="440">
        <f>+J8+L8</f>
        <v>37122</v>
      </c>
      <c r="Q8" s="442">
        <v>37.5</v>
      </c>
      <c r="R8" s="253"/>
      <c r="V8" s="433">
        <v>304</v>
      </c>
      <c r="X8" s="111" t="s">
        <v>500</v>
      </c>
    </row>
    <row r="9" spans="1:24" x14ac:dyDescent="0.35">
      <c r="A9" s="236"/>
      <c r="B9" s="434">
        <v>3043</v>
      </c>
      <c r="D9" s="111" t="s">
        <v>499</v>
      </c>
      <c r="F9" s="441">
        <v>397195</v>
      </c>
      <c r="G9" s="441"/>
      <c r="H9" s="441">
        <v>113193</v>
      </c>
      <c r="I9" s="441"/>
      <c r="J9" s="441">
        <v>14187</v>
      </c>
      <c r="K9" s="441"/>
      <c r="L9" s="441">
        <v>0</v>
      </c>
      <c r="M9" s="441"/>
      <c r="N9" s="441">
        <f>+J9+L9</f>
        <v>14187</v>
      </c>
      <c r="Q9" s="442">
        <v>37.5</v>
      </c>
      <c r="R9" s="253"/>
      <c r="V9" s="433">
        <v>304</v>
      </c>
      <c r="X9" s="111" t="s">
        <v>500</v>
      </c>
    </row>
    <row r="10" spans="1:24" x14ac:dyDescent="0.35">
      <c r="A10" s="236"/>
      <c r="B10" s="434">
        <v>3045</v>
      </c>
      <c r="D10" s="111" t="s">
        <v>499</v>
      </c>
      <c r="F10" s="441">
        <v>385991</v>
      </c>
      <c r="G10" s="441"/>
      <c r="H10" s="441">
        <v>160249</v>
      </c>
      <c r="I10" s="441"/>
      <c r="J10" s="441">
        <v>10894</v>
      </c>
      <c r="K10" s="441"/>
      <c r="L10" s="441">
        <v>8779</v>
      </c>
      <c r="M10" s="441"/>
      <c r="N10" s="441">
        <f t="shared" ref="N10:N31" si="0">+J10+L10</f>
        <v>19673</v>
      </c>
      <c r="Q10" s="442">
        <v>37.5</v>
      </c>
      <c r="R10" s="253"/>
    </row>
    <row r="11" spans="1:24" x14ac:dyDescent="0.35">
      <c r="A11" s="236"/>
      <c r="B11" s="434">
        <v>3065</v>
      </c>
      <c r="D11" s="111" t="s">
        <v>501</v>
      </c>
      <c r="F11" s="441">
        <v>31560</v>
      </c>
      <c r="G11" s="441"/>
      <c r="H11" s="441">
        <v>9682</v>
      </c>
      <c r="I11" s="441"/>
      <c r="J11" s="441">
        <v>636</v>
      </c>
      <c r="K11" s="441"/>
      <c r="L11" s="441">
        <v>0</v>
      </c>
      <c r="M11" s="441"/>
      <c r="N11" s="441">
        <f t="shared" si="0"/>
        <v>636</v>
      </c>
      <c r="Q11" s="113">
        <v>50</v>
      </c>
      <c r="R11" s="253"/>
    </row>
    <row r="12" spans="1:24" x14ac:dyDescent="0.35">
      <c r="A12" s="236"/>
      <c r="B12" s="434">
        <v>3095</v>
      </c>
      <c r="D12" s="111" t="s">
        <v>502</v>
      </c>
      <c r="F12" s="441">
        <v>3067</v>
      </c>
      <c r="G12" s="441"/>
      <c r="H12" s="441">
        <v>2551</v>
      </c>
      <c r="I12" s="441"/>
      <c r="J12" s="441">
        <v>60</v>
      </c>
      <c r="K12" s="441"/>
      <c r="L12" s="441">
        <v>0</v>
      </c>
      <c r="M12" s="441"/>
      <c r="N12" s="441">
        <f t="shared" si="0"/>
        <v>60</v>
      </c>
      <c r="Q12" s="113">
        <v>50</v>
      </c>
      <c r="R12" s="253"/>
      <c r="V12" s="433">
        <v>309</v>
      </c>
      <c r="X12" s="111" t="s">
        <v>502</v>
      </c>
    </row>
    <row r="13" spans="1:24" x14ac:dyDescent="0.35">
      <c r="A13" s="236"/>
      <c r="B13" s="434">
        <v>3115</v>
      </c>
      <c r="D13" s="111" t="s">
        <v>503</v>
      </c>
      <c r="F13" s="441">
        <f>182300+40570</f>
        <v>222870</v>
      </c>
      <c r="G13" s="441"/>
      <c r="H13" s="441">
        <f>339274+33953-219822+9135</f>
        <v>162540</v>
      </c>
      <c r="I13" s="441"/>
      <c r="J13" s="441">
        <v>1967</v>
      </c>
      <c r="K13" s="441"/>
      <c r="L13" s="441">
        <f>36756+6660</f>
        <v>43416</v>
      </c>
      <c r="M13" s="441"/>
      <c r="N13" s="441">
        <f t="shared" si="0"/>
        <v>45383</v>
      </c>
      <c r="Q13" s="113">
        <v>20</v>
      </c>
      <c r="R13" s="253"/>
      <c r="V13" s="433">
        <v>311</v>
      </c>
      <c r="X13" s="111" t="s">
        <v>503</v>
      </c>
    </row>
    <row r="14" spans="1:24" x14ac:dyDescent="0.35">
      <c r="A14" s="236"/>
      <c r="B14" s="434">
        <v>3205</v>
      </c>
      <c r="D14" s="111" t="s">
        <v>504</v>
      </c>
      <c r="F14" s="441">
        <f>4939969+32112</f>
        <v>4972081</v>
      </c>
      <c r="G14" s="441"/>
      <c r="H14" s="441">
        <f>1465411+26895</f>
        <v>1492306</v>
      </c>
      <c r="I14" s="441"/>
      <c r="J14" s="441">
        <f>239725+46</f>
        <v>239771</v>
      </c>
      <c r="K14" s="441"/>
      <c r="L14" s="441">
        <f>346557+5089</f>
        <v>351646</v>
      </c>
      <c r="M14" s="441"/>
      <c r="N14" s="441">
        <f t="shared" si="0"/>
        <v>591417</v>
      </c>
      <c r="Q14" s="442">
        <v>27.5</v>
      </c>
      <c r="R14" s="253"/>
    </row>
    <row r="15" spans="1:24" x14ac:dyDescent="0.35">
      <c r="A15" s="236"/>
      <c r="B15" s="434">
        <v>3304</v>
      </c>
      <c r="D15" s="111" t="s">
        <v>505</v>
      </c>
      <c r="F15" s="441">
        <v>4187353</v>
      </c>
      <c r="G15" s="441"/>
      <c r="H15" s="441">
        <v>1509194</v>
      </c>
      <c r="I15" s="441"/>
      <c r="J15" s="441">
        <v>132013</v>
      </c>
      <c r="K15" s="441"/>
      <c r="L15" s="441">
        <v>2470</v>
      </c>
      <c r="M15" s="441"/>
      <c r="N15" s="441">
        <f t="shared" si="0"/>
        <v>134483</v>
      </c>
      <c r="Q15" s="113">
        <v>45</v>
      </c>
      <c r="R15" s="253"/>
      <c r="V15" s="433">
        <v>330</v>
      </c>
      <c r="X15" s="111" t="s">
        <v>505</v>
      </c>
    </row>
    <row r="16" spans="1:24" x14ac:dyDescent="0.35">
      <c r="A16" s="236"/>
      <c r="B16" s="434">
        <v>3314</v>
      </c>
      <c r="D16" s="111" t="s">
        <v>506</v>
      </c>
      <c r="F16" s="441">
        <f>15273582</f>
        <v>15273582</v>
      </c>
      <c r="G16" s="441"/>
      <c r="H16" s="441">
        <f>6944683</f>
        <v>6944683</v>
      </c>
      <c r="I16" s="441"/>
      <c r="J16" s="441">
        <f>194682</f>
        <v>194682</v>
      </c>
      <c r="K16" s="441"/>
      <c r="L16" s="441">
        <v>0</v>
      </c>
      <c r="M16" s="441"/>
      <c r="N16" s="441">
        <f t="shared" si="0"/>
        <v>194682</v>
      </c>
      <c r="Q16" s="442">
        <v>62.5</v>
      </c>
      <c r="R16" s="253"/>
      <c r="V16" s="433">
        <v>331</v>
      </c>
      <c r="X16" s="111" t="s">
        <v>506</v>
      </c>
    </row>
    <row r="17" spans="1:24" x14ac:dyDescent="0.35">
      <c r="A17" s="236"/>
      <c r="B17" s="434">
        <v>3324</v>
      </c>
      <c r="D17" s="111" t="s">
        <v>507</v>
      </c>
      <c r="F17" s="441">
        <v>337292</v>
      </c>
      <c r="G17" s="441"/>
      <c r="H17" s="441">
        <v>265359</v>
      </c>
      <c r="I17" s="441"/>
      <c r="J17" s="441">
        <v>3898</v>
      </c>
      <c r="K17" s="441"/>
      <c r="L17" s="441">
        <v>38872</v>
      </c>
      <c r="M17" s="441"/>
      <c r="N17" s="441">
        <f t="shared" si="0"/>
        <v>42770</v>
      </c>
      <c r="Q17" s="113">
        <v>10</v>
      </c>
      <c r="R17" s="253"/>
    </row>
    <row r="18" spans="1:24" x14ac:dyDescent="0.35">
      <c r="A18" s="236"/>
      <c r="B18" s="434">
        <v>3334</v>
      </c>
      <c r="D18" s="111" t="s">
        <v>508</v>
      </c>
      <c r="F18" s="441">
        <v>1575174</v>
      </c>
      <c r="G18" s="441"/>
      <c r="H18" s="441">
        <v>365397</v>
      </c>
      <c r="I18" s="441"/>
      <c r="J18" s="441">
        <v>62093</v>
      </c>
      <c r="K18" s="441"/>
      <c r="L18" s="441">
        <v>16899</v>
      </c>
      <c r="M18" s="441"/>
      <c r="N18" s="441">
        <f t="shared" si="0"/>
        <v>78992</v>
      </c>
      <c r="Q18" s="113">
        <v>40</v>
      </c>
      <c r="R18" s="253"/>
      <c r="V18" s="433">
        <v>334</v>
      </c>
      <c r="X18" s="111" t="s">
        <v>509</v>
      </c>
    </row>
    <row r="19" spans="1:24" x14ac:dyDescent="0.35">
      <c r="A19" s="236"/>
      <c r="B19" s="434">
        <v>3344</v>
      </c>
      <c r="D19" s="111" t="s">
        <v>510</v>
      </c>
      <c r="F19" s="441">
        <v>2800269</v>
      </c>
      <c r="G19" s="441"/>
      <c r="H19" s="441">
        <v>673779</v>
      </c>
      <c r="I19" s="441"/>
      <c r="J19" s="441">
        <v>131788</v>
      </c>
      <c r="K19" s="441"/>
      <c r="L19" s="441">
        <f>86759</f>
        <v>86759</v>
      </c>
      <c r="M19" s="441"/>
      <c r="N19" s="441">
        <f>+J19+L19</f>
        <v>218547</v>
      </c>
      <c r="Q19" s="113">
        <v>20</v>
      </c>
      <c r="R19" s="253"/>
      <c r="V19" s="433">
        <v>334</v>
      </c>
      <c r="X19" s="111" t="s">
        <v>509</v>
      </c>
    </row>
    <row r="20" spans="1:24" x14ac:dyDescent="0.35">
      <c r="A20" s="236"/>
      <c r="B20" s="434">
        <v>3345</v>
      </c>
      <c r="D20" s="111" t="s">
        <v>511</v>
      </c>
      <c r="F20" s="441">
        <v>1152841</v>
      </c>
      <c r="G20" s="441"/>
      <c r="H20" s="441">
        <v>576754</v>
      </c>
      <c r="I20" s="441"/>
      <c r="J20" s="441">
        <v>37211</v>
      </c>
      <c r="K20" s="441"/>
      <c r="L20" s="441">
        <v>766</v>
      </c>
      <c r="M20" s="441"/>
      <c r="N20" s="441">
        <f t="shared" si="0"/>
        <v>37977</v>
      </c>
      <c r="Q20" s="113">
        <v>45</v>
      </c>
      <c r="R20" s="253"/>
      <c r="V20" s="433">
        <v>334</v>
      </c>
      <c r="X20" s="111" t="s">
        <v>509</v>
      </c>
    </row>
    <row r="21" spans="1:24" x14ac:dyDescent="0.35">
      <c r="A21" s="236"/>
      <c r="B21" s="434">
        <v>3354</v>
      </c>
      <c r="D21" s="111" t="s">
        <v>512</v>
      </c>
      <c r="F21" s="441">
        <v>203501</v>
      </c>
      <c r="G21" s="441"/>
      <c r="H21" s="441">
        <v>78047</v>
      </c>
      <c r="I21" s="441"/>
      <c r="J21" s="441">
        <v>4067</v>
      </c>
      <c r="K21" s="441"/>
      <c r="L21" s="441">
        <v>0</v>
      </c>
      <c r="M21" s="441"/>
      <c r="N21" s="441">
        <f t="shared" si="0"/>
        <v>4067</v>
      </c>
      <c r="Q21" s="113">
        <v>50</v>
      </c>
      <c r="R21" s="253"/>
      <c r="V21" s="433">
        <v>335</v>
      </c>
      <c r="X21" s="111" t="s">
        <v>512</v>
      </c>
    </row>
    <row r="22" spans="1:24" x14ac:dyDescent="0.35">
      <c r="A22" s="236"/>
      <c r="B22" s="434">
        <v>3392</v>
      </c>
      <c r="D22" s="111" t="s">
        <v>513</v>
      </c>
      <c r="F22" s="441">
        <v>2569</v>
      </c>
      <c r="G22" s="441"/>
      <c r="H22" s="441">
        <v>2029</v>
      </c>
      <c r="I22" s="441"/>
      <c r="J22" s="441">
        <v>48</v>
      </c>
      <c r="K22" s="441"/>
      <c r="L22" s="441">
        <v>0</v>
      </c>
      <c r="M22" s="441"/>
      <c r="N22" s="441">
        <f t="shared" si="0"/>
        <v>48</v>
      </c>
      <c r="Q22" s="113">
        <v>50</v>
      </c>
      <c r="R22" s="253"/>
    </row>
    <row r="23" spans="1:24" x14ac:dyDescent="0.35">
      <c r="A23" s="236"/>
      <c r="B23" s="434">
        <v>3400</v>
      </c>
      <c r="D23" s="111" t="s">
        <v>514</v>
      </c>
      <c r="F23" s="441">
        <f>210367-127570</f>
        <v>82797</v>
      </c>
      <c r="G23" s="441"/>
      <c r="H23" s="441">
        <f>122220-79985</f>
        <v>42235</v>
      </c>
      <c r="I23" s="441"/>
      <c r="J23" s="441">
        <f>18191-8505</f>
        <v>9686</v>
      </c>
      <c r="K23" s="441"/>
      <c r="L23" s="441">
        <v>5706</v>
      </c>
      <c r="M23" s="441"/>
      <c r="N23" s="441">
        <f t="shared" si="0"/>
        <v>15392</v>
      </c>
      <c r="Q23" s="113">
        <v>5</v>
      </c>
      <c r="R23" s="253"/>
      <c r="V23" s="433">
        <v>340</v>
      </c>
      <c r="X23" s="111" t="s">
        <v>515</v>
      </c>
    </row>
    <row r="24" spans="1:24" x14ac:dyDescent="0.35">
      <c r="A24" s="236"/>
      <c r="B24" s="434">
        <v>3400</v>
      </c>
      <c r="D24" s="111" t="s">
        <v>516</v>
      </c>
      <c r="F24" s="441">
        <f>117603+6601+865+180+2321</f>
        <v>127570</v>
      </c>
      <c r="G24" s="441"/>
      <c r="H24" s="441">
        <f>117603+6601+865+180+2321-43121-2750-389-87-1238</f>
        <v>79985</v>
      </c>
      <c r="I24" s="441"/>
      <c r="J24" s="441">
        <f>7840+440+58+12+155</f>
        <v>8505</v>
      </c>
      <c r="K24" s="441"/>
      <c r="L24" s="441">
        <v>0</v>
      </c>
      <c r="M24" s="441"/>
      <c r="N24" s="441">
        <f t="shared" si="0"/>
        <v>8505</v>
      </c>
      <c r="Q24" s="113">
        <v>15</v>
      </c>
      <c r="R24" s="253"/>
    </row>
    <row r="25" spans="1:24" x14ac:dyDescent="0.35">
      <c r="A25" s="236"/>
      <c r="B25" s="434">
        <v>3401</v>
      </c>
      <c r="D25" s="111" t="s">
        <v>517</v>
      </c>
      <c r="F25" s="441">
        <v>58602</v>
      </c>
      <c r="G25" s="441"/>
      <c r="H25" s="441">
        <v>48003</v>
      </c>
      <c r="I25" s="441"/>
      <c r="J25" s="441">
        <v>4243</v>
      </c>
      <c r="K25" s="441"/>
      <c r="L25" s="441">
        <v>0</v>
      </c>
      <c r="M25" s="441"/>
      <c r="N25" s="441">
        <f t="shared" si="0"/>
        <v>4243</v>
      </c>
      <c r="Q25" s="113">
        <v>5</v>
      </c>
      <c r="R25" s="253"/>
      <c r="V25" s="433">
        <v>340</v>
      </c>
      <c r="X25" s="111" t="s">
        <v>515</v>
      </c>
    </row>
    <row r="26" spans="1:24" x14ac:dyDescent="0.35">
      <c r="A26" s="236"/>
      <c r="B26" s="434">
        <v>3405</v>
      </c>
      <c r="D26" s="111" t="s">
        <v>515</v>
      </c>
      <c r="F26" s="441">
        <v>91453</v>
      </c>
      <c r="G26" s="441"/>
      <c r="H26" s="441">
        <v>62891</v>
      </c>
      <c r="I26" s="441"/>
      <c r="J26" s="441">
        <v>1664</v>
      </c>
      <c r="K26" s="441"/>
      <c r="L26" s="441">
        <v>0</v>
      </c>
      <c r="M26" s="441"/>
      <c r="N26" s="441">
        <f t="shared" si="0"/>
        <v>1664</v>
      </c>
      <c r="Q26" s="442">
        <v>22.5</v>
      </c>
      <c r="R26" s="253"/>
      <c r="V26" s="433">
        <v>340</v>
      </c>
      <c r="X26" s="111" t="s">
        <v>518</v>
      </c>
    </row>
    <row r="27" spans="1:24" x14ac:dyDescent="0.35">
      <c r="A27" s="236"/>
      <c r="B27" s="434">
        <v>3415</v>
      </c>
      <c r="D27" s="111" t="s">
        <v>519</v>
      </c>
      <c r="F27" s="441">
        <v>55626</v>
      </c>
      <c r="G27" s="441"/>
      <c r="H27" s="441">
        <v>33104</v>
      </c>
      <c r="I27" s="441"/>
      <c r="J27" s="441">
        <v>4018</v>
      </c>
      <c r="K27" s="441"/>
      <c r="L27" s="441">
        <v>0</v>
      </c>
      <c r="M27" s="441"/>
      <c r="N27" s="441">
        <f t="shared" si="0"/>
        <v>4018</v>
      </c>
      <c r="Q27" s="113">
        <v>7</v>
      </c>
      <c r="R27" s="253"/>
      <c r="V27" s="433">
        <v>341</v>
      </c>
      <c r="X27" s="111" t="s">
        <v>519</v>
      </c>
    </row>
    <row r="28" spans="1:24" x14ac:dyDescent="0.35">
      <c r="A28" s="236"/>
      <c r="B28" s="434">
        <v>3435</v>
      </c>
      <c r="D28" s="111" t="s">
        <v>520</v>
      </c>
      <c r="F28" s="441">
        <v>28888</v>
      </c>
      <c r="G28" s="441"/>
      <c r="H28" s="441">
        <v>16993</v>
      </c>
      <c r="I28" s="441"/>
      <c r="J28" s="441">
        <v>1243</v>
      </c>
      <c r="K28" s="441"/>
      <c r="L28" s="441">
        <v>224</v>
      </c>
      <c r="M28" s="441"/>
      <c r="N28" s="441">
        <f t="shared" si="0"/>
        <v>1467</v>
      </c>
      <c r="Q28" s="442">
        <v>12.5</v>
      </c>
      <c r="R28" s="253"/>
      <c r="V28" s="433">
        <v>347</v>
      </c>
      <c r="X28" s="111" t="s">
        <v>521</v>
      </c>
    </row>
    <row r="29" spans="1:24" x14ac:dyDescent="0.35">
      <c r="A29" s="236"/>
      <c r="B29" s="434">
        <v>3465</v>
      </c>
      <c r="D29" s="111" t="s">
        <v>522</v>
      </c>
      <c r="F29" s="441">
        <v>41723</v>
      </c>
      <c r="G29" s="441"/>
      <c r="H29" s="441">
        <v>24595</v>
      </c>
      <c r="I29" s="441"/>
      <c r="J29" s="441">
        <v>3702</v>
      </c>
      <c r="K29" s="441"/>
      <c r="L29" s="441">
        <v>0</v>
      </c>
      <c r="M29" s="441"/>
      <c r="N29" s="441">
        <f t="shared" si="0"/>
        <v>3702</v>
      </c>
      <c r="Q29" s="113">
        <v>10</v>
      </c>
      <c r="R29" s="253"/>
    </row>
    <row r="30" spans="1:24" x14ac:dyDescent="0.35">
      <c r="A30" s="236"/>
      <c r="B30" s="434">
        <v>3475</v>
      </c>
      <c r="D30" s="111" t="s">
        <v>523</v>
      </c>
      <c r="F30" s="441">
        <v>4759</v>
      </c>
      <c r="G30" s="441"/>
      <c r="H30" s="441">
        <v>4668</v>
      </c>
      <c r="I30" s="441"/>
      <c r="J30" s="441">
        <v>0</v>
      </c>
      <c r="K30" s="441"/>
      <c r="L30" s="441">
        <v>62</v>
      </c>
      <c r="M30" s="441"/>
      <c r="N30" s="441">
        <f t="shared" si="0"/>
        <v>62</v>
      </c>
      <c r="Q30" s="113">
        <v>10</v>
      </c>
      <c r="R30" s="253"/>
    </row>
    <row r="31" spans="1:24" x14ac:dyDescent="0.35">
      <c r="A31" s="236"/>
      <c r="B31" s="434">
        <v>3485</v>
      </c>
      <c r="D31" s="111" t="s">
        <v>523</v>
      </c>
      <c r="F31" s="441">
        <v>6888</v>
      </c>
      <c r="G31" s="441"/>
      <c r="H31" s="441">
        <v>5708</v>
      </c>
      <c r="I31" s="441"/>
      <c r="J31" s="441">
        <v>132</v>
      </c>
      <c r="K31" s="441"/>
      <c r="L31" s="441">
        <v>0</v>
      </c>
      <c r="M31" s="441"/>
      <c r="N31" s="441">
        <f t="shared" si="0"/>
        <v>132</v>
      </c>
      <c r="Q31" s="113">
        <v>50</v>
      </c>
      <c r="R31" s="253"/>
      <c r="V31" s="433">
        <v>347</v>
      </c>
      <c r="X31" s="111" t="s">
        <v>524</v>
      </c>
    </row>
    <row r="32" spans="1:24" ht="13.9" thickBot="1" x14ac:dyDescent="0.4">
      <c r="A32" s="236"/>
      <c r="F32" s="443">
        <f>SUM(F7:F31)</f>
        <v>33081386</v>
      </c>
      <c r="H32" s="443">
        <f>SUM(H8:H31)</f>
        <v>13062536</v>
      </c>
      <c r="I32" s="444"/>
      <c r="J32" s="443">
        <f>SUM(J8:J31)</f>
        <v>903606</v>
      </c>
      <c r="L32" s="443">
        <f>SUM(L8:L31)</f>
        <v>555623</v>
      </c>
      <c r="N32" s="443">
        <f>SUM(N8:N31)</f>
        <v>1459229</v>
      </c>
      <c r="R32" s="253"/>
    </row>
    <row r="33" spans="1:18" ht="13.9" thickTop="1" x14ac:dyDescent="0.35">
      <c r="A33" s="237"/>
      <c r="B33" s="436"/>
      <c r="C33" s="234"/>
      <c r="D33" s="234"/>
      <c r="E33" s="234"/>
      <c r="F33" s="235"/>
      <c r="G33" s="234"/>
      <c r="H33" s="235"/>
      <c r="I33" s="235"/>
      <c r="J33" s="235"/>
      <c r="K33" s="234"/>
      <c r="L33" s="235"/>
      <c r="M33" s="234"/>
      <c r="N33" s="235"/>
      <c r="O33" s="234"/>
      <c r="P33" s="234"/>
      <c r="Q33" s="115"/>
      <c r="R33" s="445"/>
    </row>
    <row r="35" spans="1:18" x14ac:dyDescent="0.35">
      <c r="B35" s="434" t="s">
        <v>200</v>
      </c>
      <c r="D35" s="111" t="s">
        <v>480</v>
      </c>
      <c r="N35" s="112">
        <f>-L32</f>
        <v>-555623</v>
      </c>
    </row>
    <row r="37" spans="1:18" x14ac:dyDescent="0.35">
      <c r="B37" s="434" t="s">
        <v>209</v>
      </c>
      <c r="D37" s="446" t="s">
        <v>525</v>
      </c>
      <c r="F37" s="111"/>
      <c r="H37" s="111"/>
      <c r="I37" s="111"/>
      <c r="J37" s="111"/>
      <c r="L37" s="111"/>
      <c r="N37" s="111"/>
    </row>
    <row r="38" spans="1:18" x14ac:dyDescent="0.35">
      <c r="D38" s="111" t="s">
        <v>448</v>
      </c>
      <c r="N38" s="112">
        <v>87240</v>
      </c>
    </row>
    <row r="39" spans="1:18" x14ac:dyDescent="0.35">
      <c r="D39" s="111" t="s">
        <v>453</v>
      </c>
      <c r="N39" s="112">
        <v>4849</v>
      </c>
    </row>
    <row r="40" spans="1:18" x14ac:dyDescent="0.35">
      <c r="D40" s="111" t="s">
        <v>454</v>
      </c>
      <c r="N40" s="112">
        <v>1372</v>
      </c>
    </row>
    <row r="41" spans="1:18" x14ac:dyDescent="0.35">
      <c r="D41" s="111" t="s">
        <v>455</v>
      </c>
      <c r="N41" s="112">
        <v>7516</v>
      </c>
    </row>
    <row r="42" spans="1:18" x14ac:dyDescent="0.35">
      <c r="D42" s="111" t="s">
        <v>456</v>
      </c>
      <c r="N42" s="112">
        <v>1961</v>
      </c>
    </row>
    <row r="43" spans="1:18" x14ac:dyDescent="0.35">
      <c r="D43" s="111" t="s">
        <v>457</v>
      </c>
      <c r="N43" s="112">
        <v>1742</v>
      </c>
    </row>
    <row r="45" spans="1:18" x14ac:dyDescent="0.35">
      <c r="B45" s="434" t="s">
        <v>209</v>
      </c>
      <c r="D45" s="446" t="s">
        <v>481</v>
      </c>
      <c r="N45" s="112">
        <f>+L85</f>
        <v>75655</v>
      </c>
    </row>
    <row r="47" spans="1:18" x14ac:dyDescent="0.35">
      <c r="B47" s="434" t="s">
        <v>198</v>
      </c>
      <c r="D47" s="111" t="s">
        <v>526</v>
      </c>
      <c r="N47" s="539">
        <f>SUM(N35:N46)</f>
        <v>-375288</v>
      </c>
    </row>
    <row r="49" spans="1:18" ht="13.9" thickBot="1" x14ac:dyDescent="0.4">
      <c r="B49" s="434" t="s">
        <v>527</v>
      </c>
      <c r="D49" s="111" t="s">
        <v>528</v>
      </c>
      <c r="N49" s="450">
        <f>+N32+N47</f>
        <v>1083941</v>
      </c>
    </row>
    <row r="50" spans="1:18" ht="13.9" thickTop="1" x14ac:dyDescent="0.35"/>
    <row r="53" spans="1:18" ht="15" x14ac:dyDescent="0.4"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</row>
    <row r="54" spans="1:18" ht="22.15" x14ac:dyDescent="0.55000000000000004">
      <c r="A54" s="251"/>
      <c r="B54" s="626" t="s">
        <v>529</v>
      </c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  <c r="Q54" s="626"/>
      <c r="R54" s="252"/>
    </row>
    <row r="55" spans="1:18" ht="22.15" x14ac:dyDescent="0.55000000000000004">
      <c r="A55" s="236"/>
      <c r="B55" s="624" t="s">
        <v>483</v>
      </c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253"/>
    </row>
    <row r="56" spans="1:18" x14ac:dyDescent="0.35">
      <c r="A56" s="236"/>
      <c r="R56" s="253"/>
    </row>
    <row r="57" spans="1:18" x14ac:dyDescent="0.35">
      <c r="A57" s="236"/>
      <c r="B57" s="434" t="s">
        <v>484</v>
      </c>
      <c r="F57" s="435" t="s">
        <v>485</v>
      </c>
      <c r="H57" s="435" t="s">
        <v>486</v>
      </c>
      <c r="I57" s="435"/>
      <c r="J57" s="113">
        <v>2023</v>
      </c>
      <c r="L57" s="113" t="s">
        <v>531</v>
      </c>
      <c r="N57" s="113" t="s">
        <v>532</v>
      </c>
      <c r="Q57" s="113" t="s">
        <v>490</v>
      </c>
      <c r="R57" s="253"/>
    </row>
    <row r="58" spans="1:18" x14ac:dyDescent="0.35">
      <c r="A58" s="236"/>
      <c r="B58" s="436" t="s">
        <v>155</v>
      </c>
      <c r="D58" s="114" t="s">
        <v>491</v>
      </c>
      <c r="F58" s="437" t="s">
        <v>533</v>
      </c>
      <c r="H58" s="438">
        <v>44927</v>
      </c>
      <c r="I58" s="439"/>
      <c r="J58" s="437" t="s">
        <v>494</v>
      </c>
      <c r="L58" s="437" t="s">
        <v>495</v>
      </c>
      <c r="N58" s="437" t="s">
        <v>496</v>
      </c>
      <c r="Q58" s="115" t="s">
        <v>243</v>
      </c>
      <c r="R58" s="253"/>
    </row>
    <row r="59" spans="1:18" x14ac:dyDescent="0.35">
      <c r="A59" s="236"/>
      <c r="B59" s="434">
        <v>303</v>
      </c>
      <c r="D59" s="111" t="s">
        <v>497</v>
      </c>
      <c r="F59" s="440">
        <f>28714+60172+12130+505</f>
        <v>101521</v>
      </c>
      <c r="R59" s="253"/>
    </row>
    <row r="60" spans="1:18" x14ac:dyDescent="0.35">
      <c r="A60" s="236"/>
      <c r="B60" s="434">
        <v>3042</v>
      </c>
      <c r="D60" s="111" t="s">
        <v>499</v>
      </c>
      <c r="F60" s="441">
        <v>936214</v>
      </c>
      <c r="H60" s="440">
        <v>425713</v>
      </c>
      <c r="I60" s="440"/>
      <c r="J60" s="440">
        <v>39325</v>
      </c>
      <c r="L60" s="440">
        <v>0</v>
      </c>
      <c r="N60" s="440">
        <f>+J60+L60</f>
        <v>39325</v>
      </c>
      <c r="Q60" s="442">
        <v>37.5</v>
      </c>
      <c r="R60" s="253"/>
    </row>
    <row r="61" spans="1:18" x14ac:dyDescent="0.35">
      <c r="A61" s="236"/>
      <c r="B61" s="434">
        <v>3043</v>
      </c>
      <c r="D61" s="111" t="s">
        <v>499</v>
      </c>
      <c r="F61" s="441">
        <v>397195</v>
      </c>
      <c r="G61" s="441"/>
      <c r="H61" s="441">
        <v>127380</v>
      </c>
      <c r="I61" s="441"/>
      <c r="J61" s="441">
        <v>14857</v>
      </c>
      <c r="K61" s="441"/>
      <c r="L61" s="441"/>
      <c r="M61" s="441"/>
      <c r="N61" s="441">
        <f>+J61+L61</f>
        <v>14857</v>
      </c>
      <c r="Q61" s="442">
        <v>37.5</v>
      </c>
      <c r="R61" s="253"/>
    </row>
    <row r="62" spans="1:18" x14ac:dyDescent="0.35">
      <c r="A62" s="236"/>
      <c r="B62" s="434">
        <v>3045</v>
      </c>
      <c r="D62" s="111" t="s">
        <v>499</v>
      </c>
      <c r="F62" s="441">
        <v>385991</v>
      </c>
      <c r="G62" s="441"/>
      <c r="H62" s="441">
        <v>179922</v>
      </c>
      <c r="I62" s="441"/>
      <c r="J62" s="441">
        <v>11137</v>
      </c>
      <c r="K62" s="441"/>
      <c r="L62" s="441"/>
      <c r="M62" s="441"/>
      <c r="N62" s="441">
        <f t="shared" ref="N62:N84" si="1">+J62+L62</f>
        <v>11137</v>
      </c>
      <c r="Q62" s="442">
        <v>37.5</v>
      </c>
      <c r="R62" s="253"/>
    </row>
    <row r="63" spans="1:18" x14ac:dyDescent="0.35">
      <c r="A63" s="236"/>
      <c r="B63" s="434">
        <v>3065</v>
      </c>
      <c r="D63" s="111" t="s">
        <v>501</v>
      </c>
      <c r="F63" s="441">
        <v>31560</v>
      </c>
      <c r="G63" s="441"/>
      <c r="H63" s="441">
        <v>10318</v>
      </c>
      <c r="I63" s="441"/>
      <c r="J63" s="441">
        <v>636</v>
      </c>
      <c r="K63" s="441"/>
      <c r="L63" s="441"/>
      <c r="M63" s="441"/>
      <c r="N63" s="441">
        <f t="shared" si="1"/>
        <v>636</v>
      </c>
      <c r="Q63" s="113">
        <v>50</v>
      </c>
      <c r="R63" s="253"/>
    </row>
    <row r="64" spans="1:18" x14ac:dyDescent="0.35">
      <c r="A64" s="236"/>
      <c r="B64" s="434">
        <v>3095</v>
      </c>
      <c r="D64" s="111" t="s">
        <v>502</v>
      </c>
      <c r="F64" s="441">
        <v>3067</v>
      </c>
      <c r="G64" s="441"/>
      <c r="H64" s="441">
        <v>2611</v>
      </c>
      <c r="I64" s="441"/>
      <c r="J64" s="441">
        <v>61</v>
      </c>
      <c r="K64" s="441"/>
      <c r="L64" s="441"/>
      <c r="M64" s="441"/>
      <c r="N64" s="441">
        <f t="shared" si="1"/>
        <v>61</v>
      </c>
      <c r="Q64" s="113">
        <v>50</v>
      </c>
      <c r="R64" s="253"/>
    </row>
    <row r="65" spans="1:18" x14ac:dyDescent="0.35">
      <c r="A65" s="236"/>
      <c r="B65" s="434">
        <v>311</v>
      </c>
      <c r="D65" s="111" t="s">
        <v>503</v>
      </c>
      <c r="F65" s="441">
        <f>182300+40570</f>
        <v>222870</v>
      </c>
      <c r="G65" s="441"/>
      <c r="H65" s="441">
        <v>207923</v>
      </c>
      <c r="I65" s="441"/>
      <c r="J65" s="441">
        <v>1717</v>
      </c>
      <c r="K65" s="441"/>
      <c r="L65" s="441"/>
      <c r="M65" s="441"/>
      <c r="N65" s="441">
        <f t="shared" si="1"/>
        <v>1717</v>
      </c>
      <c r="Q65" s="113">
        <v>20</v>
      </c>
      <c r="R65" s="253"/>
    </row>
    <row r="66" spans="1:18" x14ac:dyDescent="0.35">
      <c r="A66" s="236"/>
      <c r="B66" s="434">
        <v>320</v>
      </c>
      <c r="D66" s="111" t="s">
        <v>504</v>
      </c>
      <c r="F66" s="441">
        <f>4939969+32112</f>
        <v>4972081</v>
      </c>
      <c r="G66" s="441"/>
      <c r="H66" s="441">
        <v>2083723</v>
      </c>
      <c r="I66" s="441"/>
      <c r="J66" s="441">
        <f>266442+60</f>
        <v>266502</v>
      </c>
      <c r="K66" s="441"/>
      <c r="L66" s="441"/>
      <c r="M66" s="441"/>
      <c r="N66" s="441">
        <f t="shared" si="1"/>
        <v>266502</v>
      </c>
      <c r="Q66" s="442">
        <v>27.5</v>
      </c>
      <c r="R66" s="253"/>
    </row>
    <row r="67" spans="1:18" x14ac:dyDescent="0.35">
      <c r="A67" s="236"/>
      <c r="B67" s="434">
        <v>3304</v>
      </c>
      <c r="D67" s="111" t="s">
        <v>505</v>
      </c>
      <c r="F67" s="441">
        <v>4187806</v>
      </c>
      <c r="G67" s="441"/>
      <c r="H67" s="441">
        <v>1643677</v>
      </c>
      <c r="I67" s="441"/>
      <c r="J67" s="441">
        <v>130955</v>
      </c>
      <c r="K67" s="441"/>
      <c r="L67" s="441"/>
      <c r="M67" s="441"/>
      <c r="N67" s="441">
        <f t="shared" si="1"/>
        <v>130955</v>
      </c>
      <c r="Q67" s="113">
        <v>45</v>
      </c>
      <c r="R67" s="253"/>
    </row>
    <row r="68" spans="1:18" x14ac:dyDescent="0.35">
      <c r="A68" s="236"/>
      <c r="B68" s="434">
        <v>3314</v>
      </c>
      <c r="D68" s="111" t="s">
        <v>506</v>
      </c>
      <c r="F68" s="441">
        <v>15292820</v>
      </c>
      <c r="G68" s="441"/>
      <c r="H68" s="441">
        <v>7139365</v>
      </c>
      <c r="I68" s="441"/>
      <c r="J68" s="441">
        <v>194184</v>
      </c>
      <c r="K68" s="441"/>
      <c r="L68" s="441"/>
      <c r="M68" s="441"/>
      <c r="N68" s="441">
        <f t="shared" si="1"/>
        <v>194184</v>
      </c>
      <c r="Q68" s="442">
        <v>62.5</v>
      </c>
      <c r="R68" s="253"/>
    </row>
    <row r="69" spans="1:18" x14ac:dyDescent="0.35">
      <c r="A69" s="236"/>
      <c r="B69" s="434">
        <v>3324</v>
      </c>
      <c r="D69" s="111" t="s">
        <v>507</v>
      </c>
      <c r="F69" s="441">
        <v>35794</v>
      </c>
      <c r="G69" s="441"/>
      <c r="H69" s="441">
        <v>308129</v>
      </c>
      <c r="I69" s="441"/>
      <c r="J69" s="441">
        <v>4026</v>
      </c>
      <c r="K69" s="441"/>
      <c r="L69" s="441"/>
      <c r="M69" s="441"/>
      <c r="N69" s="441">
        <f t="shared" si="1"/>
        <v>4026</v>
      </c>
      <c r="Q69" s="113">
        <v>10</v>
      </c>
      <c r="R69" s="253"/>
    </row>
    <row r="70" spans="1:18" x14ac:dyDescent="0.35">
      <c r="A70" s="236"/>
      <c r="B70" s="434">
        <v>3334</v>
      </c>
      <c r="D70" s="111" t="s">
        <v>508</v>
      </c>
      <c r="F70" s="441">
        <v>1627145</v>
      </c>
      <c r="G70" s="441"/>
      <c r="H70" s="441">
        <v>444389</v>
      </c>
      <c r="I70" s="441"/>
      <c r="J70" s="441">
        <v>55710</v>
      </c>
      <c r="K70" s="441"/>
      <c r="L70" s="441"/>
      <c r="M70" s="441"/>
      <c r="N70" s="441">
        <f t="shared" si="1"/>
        <v>55710</v>
      </c>
      <c r="Q70" s="113">
        <v>40</v>
      </c>
      <c r="R70" s="253"/>
    </row>
    <row r="71" spans="1:18" x14ac:dyDescent="0.35">
      <c r="A71" s="236"/>
      <c r="B71" s="434">
        <v>3344</v>
      </c>
      <c r="D71" s="111" t="s">
        <v>510</v>
      </c>
      <c r="F71" s="441">
        <f>2821970-635229-3796</f>
        <v>2182945</v>
      </c>
      <c r="G71" s="441"/>
      <c r="H71" s="441">
        <v>881338</v>
      </c>
      <c r="I71" s="441"/>
      <c r="J71" s="441">
        <f>207890-75655-39</f>
        <v>132196</v>
      </c>
      <c r="K71" s="441"/>
      <c r="L71" s="441"/>
      <c r="M71" s="441"/>
      <c r="N71" s="441">
        <f t="shared" si="1"/>
        <v>132196</v>
      </c>
      <c r="Q71" s="113">
        <v>20</v>
      </c>
      <c r="R71" s="253"/>
    </row>
    <row r="72" spans="1:18" x14ac:dyDescent="0.35">
      <c r="A72" s="236"/>
      <c r="B72" s="434">
        <v>3344</v>
      </c>
      <c r="D72" s="111" t="s">
        <v>534</v>
      </c>
      <c r="F72" s="441">
        <f>635229+3796</f>
        <v>639025</v>
      </c>
      <c r="G72" s="441"/>
      <c r="H72" s="441"/>
      <c r="I72" s="441"/>
      <c r="J72" s="441">
        <v>39</v>
      </c>
      <c r="K72" s="441"/>
      <c r="L72" s="441">
        <v>75655</v>
      </c>
      <c r="M72" s="441"/>
      <c r="N72" s="441">
        <f t="shared" si="1"/>
        <v>75694</v>
      </c>
      <c r="Q72" s="113">
        <v>10</v>
      </c>
      <c r="R72" s="253"/>
    </row>
    <row r="73" spans="1:18" x14ac:dyDescent="0.35">
      <c r="A73" s="236"/>
      <c r="B73" s="434">
        <v>3345</v>
      </c>
      <c r="D73" s="111" t="s">
        <v>511</v>
      </c>
      <c r="F73" s="441">
        <v>1173940</v>
      </c>
      <c r="G73" s="441"/>
      <c r="H73" s="441">
        <v>614731</v>
      </c>
      <c r="I73" s="441"/>
      <c r="J73" s="441">
        <v>33416</v>
      </c>
      <c r="K73" s="441"/>
      <c r="L73" s="441"/>
      <c r="M73" s="441"/>
      <c r="N73" s="441">
        <f t="shared" si="1"/>
        <v>33416</v>
      </c>
      <c r="Q73" s="113">
        <v>45</v>
      </c>
      <c r="R73" s="253"/>
    </row>
    <row r="74" spans="1:18" x14ac:dyDescent="0.35">
      <c r="A74" s="236"/>
      <c r="B74" s="434">
        <v>3354</v>
      </c>
      <c r="D74" s="111" t="s">
        <v>512</v>
      </c>
      <c r="F74" s="441">
        <v>203500</v>
      </c>
      <c r="G74" s="441"/>
      <c r="H74" s="441">
        <v>82114</v>
      </c>
      <c r="I74" s="441"/>
      <c r="J74" s="441">
        <v>4018</v>
      </c>
      <c r="K74" s="441"/>
      <c r="L74" s="441"/>
      <c r="M74" s="441"/>
      <c r="N74" s="441">
        <f t="shared" si="1"/>
        <v>4018</v>
      </c>
      <c r="Q74" s="113">
        <v>50</v>
      </c>
      <c r="R74" s="253"/>
    </row>
    <row r="75" spans="1:18" x14ac:dyDescent="0.35">
      <c r="A75" s="236"/>
      <c r="B75" s="434">
        <v>3392</v>
      </c>
      <c r="D75" s="111" t="s">
        <v>513</v>
      </c>
      <c r="F75" s="441">
        <v>2569</v>
      </c>
      <c r="G75" s="441"/>
      <c r="H75" s="441">
        <v>2077</v>
      </c>
      <c r="I75" s="441"/>
      <c r="J75" s="441">
        <v>49</v>
      </c>
      <c r="K75" s="441"/>
      <c r="L75" s="441"/>
      <c r="M75" s="441"/>
      <c r="N75" s="441">
        <f t="shared" si="1"/>
        <v>49</v>
      </c>
      <c r="Q75" s="113">
        <v>50</v>
      </c>
      <c r="R75" s="253"/>
    </row>
    <row r="76" spans="1:18" x14ac:dyDescent="0.35">
      <c r="A76" s="236"/>
      <c r="B76" s="434">
        <v>3400</v>
      </c>
      <c r="D76" s="111" t="s">
        <v>514</v>
      </c>
      <c r="F76" s="441">
        <f>221984-127570</f>
        <v>94414</v>
      </c>
      <c r="G76" s="441"/>
      <c r="H76" s="441">
        <v>57627</v>
      </c>
      <c r="I76" s="441"/>
      <c r="J76" s="441">
        <f>-8505+17384</f>
        <v>8879</v>
      </c>
      <c r="K76" s="441"/>
      <c r="L76" s="441"/>
      <c r="M76" s="441"/>
      <c r="N76" s="441">
        <f t="shared" si="1"/>
        <v>8879</v>
      </c>
      <c r="Q76" s="113">
        <v>5</v>
      </c>
      <c r="R76" s="253"/>
    </row>
    <row r="77" spans="1:18" x14ac:dyDescent="0.35">
      <c r="A77" s="236"/>
      <c r="B77" s="434">
        <v>3400</v>
      </c>
      <c r="D77" s="111" t="s">
        <v>516</v>
      </c>
      <c r="F77" s="441">
        <f>117603+6601+865+180+2321</f>
        <v>127570</v>
      </c>
      <c r="G77" s="441"/>
      <c r="H77" s="441">
        <v>88490</v>
      </c>
      <c r="I77" s="441"/>
      <c r="J77" s="441">
        <f>7840+440+58+12+155</f>
        <v>8505</v>
      </c>
      <c r="K77" s="441"/>
      <c r="L77" s="441"/>
      <c r="M77" s="441"/>
      <c r="N77" s="441">
        <f t="shared" si="1"/>
        <v>8505</v>
      </c>
      <c r="Q77" s="113">
        <v>15</v>
      </c>
      <c r="R77" s="253"/>
    </row>
    <row r="78" spans="1:18" x14ac:dyDescent="0.35">
      <c r="A78" s="236"/>
      <c r="B78" s="434">
        <v>3401</v>
      </c>
      <c r="D78" s="111" t="s">
        <v>517</v>
      </c>
      <c r="F78" s="441">
        <v>47112</v>
      </c>
      <c r="G78" s="441"/>
      <c r="H78" s="441">
        <v>52246</v>
      </c>
      <c r="I78" s="441"/>
      <c r="J78" s="441">
        <v>3354</v>
      </c>
      <c r="K78" s="441"/>
      <c r="L78" s="441"/>
      <c r="M78" s="441"/>
      <c r="N78" s="441">
        <f t="shared" si="1"/>
        <v>3354</v>
      </c>
      <c r="Q78" s="113">
        <v>5</v>
      </c>
      <c r="R78" s="253"/>
    </row>
    <row r="79" spans="1:18" x14ac:dyDescent="0.35">
      <c r="A79" s="236"/>
      <c r="B79" s="434">
        <v>3405</v>
      </c>
      <c r="D79" s="111" t="s">
        <v>515</v>
      </c>
      <c r="F79" s="441">
        <v>78370</v>
      </c>
      <c r="G79" s="441"/>
      <c r="H79" s="441">
        <v>64555</v>
      </c>
      <c r="I79" s="441"/>
      <c r="J79" s="441">
        <v>1401</v>
      </c>
      <c r="K79" s="441"/>
      <c r="L79" s="441"/>
      <c r="M79" s="441"/>
      <c r="N79" s="441">
        <f t="shared" si="1"/>
        <v>1401</v>
      </c>
      <c r="Q79" s="442">
        <v>22.5</v>
      </c>
      <c r="R79" s="253"/>
    </row>
    <row r="80" spans="1:18" x14ac:dyDescent="0.35">
      <c r="A80" s="236"/>
      <c r="B80" s="434">
        <v>3415</v>
      </c>
      <c r="D80" s="111" t="s">
        <v>519</v>
      </c>
      <c r="F80" s="441">
        <v>55626</v>
      </c>
      <c r="G80" s="441"/>
      <c r="H80" s="441">
        <v>37122</v>
      </c>
      <c r="I80" s="441"/>
      <c r="J80" s="441">
        <v>4018</v>
      </c>
      <c r="K80" s="441"/>
      <c r="L80" s="441"/>
      <c r="M80" s="441"/>
      <c r="N80" s="441">
        <f t="shared" si="1"/>
        <v>4018</v>
      </c>
      <c r="Q80" s="113">
        <v>7</v>
      </c>
      <c r="R80" s="253"/>
    </row>
    <row r="81" spans="1:18" x14ac:dyDescent="0.35">
      <c r="A81" s="236"/>
      <c r="B81" s="434">
        <v>3435</v>
      </c>
      <c r="D81" s="111" t="s">
        <v>520</v>
      </c>
      <c r="F81" s="441">
        <v>30238</v>
      </c>
      <c r="G81" s="441"/>
      <c r="H81" s="441">
        <v>18460</v>
      </c>
      <c r="I81" s="441"/>
      <c r="J81" s="441">
        <v>1219</v>
      </c>
      <c r="K81" s="441"/>
      <c r="L81" s="441"/>
      <c r="M81" s="441"/>
      <c r="N81" s="441">
        <f t="shared" si="1"/>
        <v>1219</v>
      </c>
      <c r="Q81" s="442">
        <v>12.5</v>
      </c>
      <c r="R81" s="253"/>
    </row>
    <row r="82" spans="1:18" x14ac:dyDescent="0.35">
      <c r="A82" s="236"/>
      <c r="B82" s="434">
        <v>3465</v>
      </c>
      <c r="D82" s="111" t="s">
        <v>522</v>
      </c>
      <c r="F82" s="441">
        <v>41723</v>
      </c>
      <c r="G82" s="441"/>
      <c r="H82" s="441">
        <v>28297</v>
      </c>
      <c r="I82" s="441"/>
      <c r="J82" s="441">
        <v>3468</v>
      </c>
      <c r="K82" s="441"/>
      <c r="L82" s="441"/>
      <c r="M82" s="441"/>
      <c r="N82" s="441">
        <f t="shared" si="1"/>
        <v>3468</v>
      </c>
      <c r="Q82" s="113">
        <v>10</v>
      </c>
      <c r="R82" s="253"/>
    </row>
    <row r="83" spans="1:18" x14ac:dyDescent="0.35">
      <c r="A83" s="236"/>
      <c r="B83" s="434">
        <v>3475</v>
      </c>
      <c r="D83" s="111" t="s">
        <v>523</v>
      </c>
      <c r="F83" s="441">
        <v>0</v>
      </c>
      <c r="G83" s="441"/>
      <c r="H83" s="441">
        <v>4730</v>
      </c>
      <c r="I83" s="441"/>
      <c r="J83" s="441">
        <v>0</v>
      </c>
      <c r="K83" s="441"/>
      <c r="L83" s="441"/>
      <c r="M83" s="441"/>
      <c r="N83" s="441">
        <f t="shared" si="1"/>
        <v>0</v>
      </c>
      <c r="Q83" s="113">
        <v>10</v>
      </c>
      <c r="R83" s="253"/>
    </row>
    <row r="84" spans="1:18" x14ac:dyDescent="0.35">
      <c r="A84" s="236"/>
      <c r="B84" s="434">
        <v>3485</v>
      </c>
      <c r="D84" s="111" t="s">
        <v>523</v>
      </c>
      <c r="F84" s="441">
        <v>6888</v>
      </c>
      <c r="G84" s="441"/>
      <c r="H84" s="441">
        <v>5840</v>
      </c>
      <c r="I84" s="441"/>
      <c r="J84" s="441">
        <v>143</v>
      </c>
      <c r="K84" s="441"/>
      <c r="L84" s="441"/>
      <c r="M84" s="441"/>
      <c r="N84" s="441">
        <f t="shared" si="1"/>
        <v>143</v>
      </c>
      <c r="Q84" s="113">
        <v>50</v>
      </c>
      <c r="R84" s="253"/>
    </row>
    <row r="85" spans="1:18" ht="13.9" thickBot="1" x14ac:dyDescent="0.4">
      <c r="A85" s="236"/>
      <c r="F85" s="443">
        <f>SUM(F59:F84)</f>
        <v>32877984</v>
      </c>
      <c r="H85" s="443">
        <f>SUM(H60:H84)</f>
        <v>14510777</v>
      </c>
      <c r="I85" s="444"/>
      <c r="J85" s="443">
        <f>SUM(J60:J84)</f>
        <v>919815</v>
      </c>
      <c r="L85" s="443">
        <f>SUM(L60:L84)</f>
        <v>75655</v>
      </c>
      <c r="N85" s="443">
        <f>SUM(N60:N84)</f>
        <v>995470</v>
      </c>
      <c r="R85" s="253"/>
    </row>
    <row r="86" spans="1:18" ht="13.9" thickTop="1" x14ac:dyDescent="0.35">
      <c r="A86" s="237"/>
      <c r="B86" s="436"/>
      <c r="C86" s="234"/>
      <c r="D86" s="234"/>
      <c r="E86" s="234"/>
      <c r="F86" s="235">
        <v>32877984</v>
      </c>
      <c r="G86" s="234"/>
      <c r="H86" s="235">
        <v>14510777</v>
      </c>
      <c r="I86" s="235"/>
      <c r="J86" s="235">
        <v>919815</v>
      </c>
      <c r="K86" s="234"/>
      <c r="L86" s="235">
        <v>75655</v>
      </c>
      <c r="M86" s="234"/>
      <c r="N86" s="235">
        <v>995470</v>
      </c>
      <c r="O86" s="234"/>
      <c r="P86" s="234"/>
      <c r="Q86" s="115"/>
      <c r="R86" s="445"/>
    </row>
    <row r="89" spans="1:18" ht="13.9" x14ac:dyDescent="0.4">
      <c r="D89" s="111" t="s">
        <v>535</v>
      </c>
      <c r="J89" s="451">
        <f>+J85</f>
        <v>919815</v>
      </c>
    </row>
    <row r="90" spans="1:18" ht="13.9" x14ac:dyDescent="0.4">
      <c r="D90" s="111" t="s">
        <v>536</v>
      </c>
      <c r="J90" s="451">
        <f>+L85</f>
        <v>75655</v>
      </c>
    </row>
    <row r="91" spans="1:18" ht="13.9" x14ac:dyDescent="0.4">
      <c r="D91" s="111" t="s">
        <v>537</v>
      </c>
      <c r="J91" s="451">
        <f>+J89+J90</f>
        <v>995470</v>
      </c>
      <c r="N91" s="451"/>
    </row>
  </sheetData>
  <mergeCells count="6">
    <mergeCell ref="B55:Q55"/>
    <mergeCell ref="B1:Q1"/>
    <mergeCell ref="B2:Q2"/>
    <mergeCell ref="B3:Q3"/>
    <mergeCell ref="B53:Q53"/>
    <mergeCell ref="B54:Q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4"/>
  <sheetViews>
    <sheetView showGridLines="0" workbookViewId="0">
      <selection activeCell="A2" sqref="A2:L19"/>
    </sheetView>
  </sheetViews>
  <sheetFormatPr defaultColWidth="8.88671875" defaultRowHeight="13.5" x14ac:dyDescent="0.35"/>
  <cols>
    <col min="1" max="1" width="1.6640625" style="117" customWidth="1"/>
    <col min="2" max="2" width="12.5546875" style="117" customWidth="1"/>
    <col min="3" max="3" width="14.77734375" style="117" customWidth="1"/>
    <col min="4" max="4" width="1.77734375" style="117" customWidth="1"/>
    <col min="5" max="5" width="14.77734375" style="117" customWidth="1"/>
    <col min="6" max="6" width="1.77734375" style="117" customWidth="1"/>
    <col min="7" max="7" width="14.77734375" style="117" customWidth="1"/>
    <col min="8" max="8" width="0.77734375" style="117" customWidth="1"/>
    <col min="9" max="9" width="14.77734375" style="117" customWidth="1"/>
    <col min="10" max="10" width="0.77734375" style="117" customWidth="1"/>
    <col min="11" max="11" width="14.77734375" style="117" customWidth="1"/>
    <col min="12" max="12" width="1.77734375" style="117" customWidth="1"/>
    <col min="13" max="14" width="8.88671875" style="117"/>
    <col min="15" max="15" width="9" style="117" bestFit="1" customWidth="1"/>
    <col min="16" max="16384" width="8.88671875" style="117"/>
  </cols>
  <sheetData>
    <row r="1" spans="1:13" ht="15" x14ac:dyDescent="0.4">
      <c r="A1" s="116"/>
    </row>
    <row r="2" spans="1:13" ht="15" x14ac:dyDescent="0.4">
      <c r="A2" s="152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3" ht="17.649999999999999" x14ac:dyDescent="0.5">
      <c r="A3" s="153"/>
      <c r="B3" s="628" t="s">
        <v>239</v>
      </c>
      <c r="C3" s="628"/>
      <c r="D3" s="628"/>
      <c r="E3" s="628"/>
      <c r="F3" s="628"/>
      <c r="G3" s="628"/>
      <c r="H3" s="628"/>
      <c r="I3" s="628"/>
      <c r="J3" s="628"/>
      <c r="K3" s="628"/>
      <c r="L3" s="120"/>
    </row>
    <row r="4" spans="1:13" ht="17.649999999999999" x14ac:dyDescent="0.5">
      <c r="A4" s="153"/>
      <c r="B4" s="628" t="s">
        <v>29</v>
      </c>
      <c r="C4" s="628"/>
      <c r="D4" s="628"/>
      <c r="E4" s="628"/>
      <c r="F4" s="628"/>
      <c r="G4" s="628"/>
      <c r="H4" s="628"/>
      <c r="I4" s="628"/>
      <c r="J4" s="628"/>
      <c r="K4" s="628"/>
      <c r="L4" s="120"/>
    </row>
    <row r="5" spans="1:13" ht="17.649999999999999" x14ac:dyDescent="0.5">
      <c r="A5" s="153"/>
      <c r="B5" s="628" t="str">
        <f>Adj!B1</f>
        <v>Butler County Water System, Inc.</v>
      </c>
      <c r="C5" s="628"/>
      <c r="D5" s="628"/>
      <c r="E5" s="628"/>
      <c r="F5" s="628"/>
      <c r="G5" s="628"/>
      <c r="H5" s="628"/>
      <c r="I5" s="628"/>
      <c r="J5" s="628"/>
      <c r="K5" s="628"/>
      <c r="L5" s="120"/>
      <c r="M5" s="121"/>
    </row>
    <row r="6" spans="1:13" ht="17.25" x14ac:dyDescent="0.45">
      <c r="A6" s="153"/>
      <c r="B6" s="629" t="s">
        <v>219</v>
      </c>
      <c r="C6" s="629"/>
      <c r="D6" s="629"/>
      <c r="E6" s="629"/>
      <c r="F6" s="629"/>
      <c r="G6" s="629"/>
      <c r="H6" s="629"/>
      <c r="I6" s="629"/>
      <c r="J6" s="629"/>
      <c r="K6" s="629"/>
      <c r="L6" s="120"/>
    </row>
    <row r="7" spans="1:13" ht="15" x14ac:dyDescent="0.4">
      <c r="A7" s="153"/>
      <c r="B7" s="122"/>
      <c r="C7" s="122"/>
      <c r="D7" s="122"/>
      <c r="E7" s="122"/>
      <c r="F7" s="122"/>
      <c r="G7" s="122"/>
      <c r="H7" s="123"/>
      <c r="I7" s="123"/>
      <c r="J7" s="123"/>
      <c r="K7" s="123"/>
      <c r="L7" s="120"/>
    </row>
    <row r="8" spans="1:13" ht="15" x14ac:dyDescent="0.4">
      <c r="A8" s="153"/>
      <c r="B8" s="124"/>
      <c r="C8" s="124"/>
      <c r="D8" s="124"/>
      <c r="E8" s="124"/>
      <c r="F8" s="124"/>
      <c r="G8" s="124"/>
      <c r="H8" s="123"/>
      <c r="I8" s="123"/>
      <c r="J8" s="123"/>
      <c r="K8" s="123"/>
      <c r="L8" s="120"/>
    </row>
    <row r="9" spans="1:13" ht="15.75" customHeight="1" x14ac:dyDescent="0.4">
      <c r="A9" s="153"/>
      <c r="B9" s="123"/>
      <c r="C9" s="627" t="s">
        <v>391</v>
      </c>
      <c r="D9" s="627"/>
      <c r="E9" s="627"/>
      <c r="F9" s="627"/>
      <c r="G9" s="627"/>
      <c r="H9" s="627"/>
      <c r="I9" s="627"/>
      <c r="J9" s="627"/>
      <c r="K9" s="627"/>
      <c r="L9" s="120"/>
    </row>
    <row r="10" spans="1:13" ht="15" x14ac:dyDescent="0.4">
      <c r="A10" s="153"/>
      <c r="B10" s="132" t="s">
        <v>56</v>
      </c>
      <c r="C10" s="268" t="s">
        <v>387</v>
      </c>
      <c r="D10" s="123"/>
      <c r="E10" s="268" t="s">
        <v>388</v>
      </c>
      <c r="F10" s="123"/>
      <c r="G10" s="268" t="s">
        <v>389</v>
      </c>
      <c r="H10" s="123"/>
      <c r="I10" s="268" t="s">
        <v>390</v>
      </c>
      <c r="J10" s="123"/>
      <c r="K10" s="268" t="s">
        <v>32</v>
      </c>
      <c r="L10" s="120"/>
    </row>
    <row r="11" spans="1:13" ht="15" x14ac:dyDescent="0.4">
      <c r="A11" s="153"/>
      <c r="B11" s="125">
        <v>2024</v>
      </c>
      <c r="C11" s="126">
        <f>'Amort Sch''s'!E17</f>
        <v>221250</v>
      </c>
      <c r="D11" s="126"/>
      <c r="E11" s="126">
        <f>'Amort Sch''s'!H15</f>
        <v>18682</v>
      </c>
      <c r="F11" s="126"/>
      <c r="G11" s="126">
        <f>'Amort Sch''s'!K15</f>
        <v>59070</v>
      </c>
      <c r="H11" s="123"/>
      <c r="I11" s="123">
        <f>'Amort Sch''s'!O15</f>
        <v>70137.22</v>
      </c>
      <c r="J11" s="123"/>
      <c r="K11" s="123">
        <f>SUM(C11,E11,G11,I11)</f>
        <v>369139.22</v>
      </c>
      <c r="L11" s="120"/>
    </row>
    <row r="12" spans="1:13" ht="15" x14ac:dyDescent="0.4">
      <c r="A12" s="153"/>
      <c r="B12" s="125">
        <v>2025</v>
      </c>
      <c r="C12" s="127">
        <f>'Amort Sch''s'!E18</f>
        <v>219750</v>
      </c>
      <c r="D12" s="127"/>
      <c r="E12" s="127">
        <f>'Amort Sch''s'!H16</f>
        <v>18682</v>
      </c>
      <c r="F12" s="126"/>
      <c r="G12" s="127">
        <f>'Amort Sch''s'!K16</f>
        <v>59070</v>
      </c>
      <c r="H12" s="123"/>
      <c r="I12" s="127">
        <f>'Amort Sch''s'!O16</f>
        <v>72930</v>
      </c>
      <c r="J12" s="123"/>
      <c r="K12" s="127">
        <f t="shared" ref="K12:K15" si="0">SUM(C12,E12,G12,I12)</f>
        <v>370432</v>
      </c>
      <c r="L12" s="120"/>
    </row>
    <row r="13" spans="1:13" ht="15" x14ac:dyDescent="0.4">
      <c r="A13" s="153"/>
      <c r="B13" s="125">
        <v>2026</v>
      </c>
      <c r="C13" s="127">
        <f>'Amort Sch''s'!E19</f>
        <v>218050</v>
      </c>
      <c r="D13" s="127"/>
      <c r="E13" s="127">
        <f>'Amort Sch''s'!H17</f>
        <v>18682</v>
      </c>
      <c r="F13" s="126"/>
      <c r="G13" s="127">
        <f>'Amort Sch''s'!K17</f>
        <v>59070</v>
      </c>
      <c r="H13" s="123"/>
      <c r="I13" s="127">
        <f>'Amort Sch''s'!O17</f>
        <v>76330</v>
      </c>
      <c r="J13" s="123"/>
      <c r="K13" s="127">
        <f t="shared" si="0"/>
        <v>372132</v>
      </c>
      <c r="L13" s="120"/>
    </row>
    <row r="14" spans="1:13" ht="15" x14ac:dyDescent="0.4">
      <c r="A14" s="153"/>
      <c r="B14" s="125">
        <v>2027</v>
      </c>
      <c r="C14" s="127">
        <f>'Amort Sch''s'!E20</f>
        <v>216150</v>
      </c>
      <c r="D14" s="127"/>
      <c r="E14" s="127">
        <f>'Amort Sch''s'!H18</f>
        <v>18682</v>
      </c>
      <c r="F14" s="126"/>
      <c r="G14" s="127">
        <f>'Amort Sch''s'!K18</f>
        <v>59070</v>
      </c>
      <c r="H14" s="123"/>
      <c r="I14" s="127">
        <f>'Amort Sch''s'!O18</f>
        <v>74570</v>
      </c>
      <c r="J14" s="123"/>
      <c r="K14" s="127">
        <f t="shared" si="0"/>
        <v>368472</v>
      </c>
      <c r="L14" s="120"/>
    </row>
    <row r="15" spans="1:13" ht="15" x14ac:dyDescent="0.4">
      <c r="A15" s="153"/>
      <c r="B15" s="125">
        <v>2028</v>
      </c>
      <c r="C15" s="133">
        <f>'Amort Sch''s'!E21</f>
        <v>209150</v>
      </c>
      <c r="D15" s="127"/>
      <c r="E15" s="133">
        <f>'Amort Sch''s'!H19</f>
        <v>18682</v>
      </c>
      <c r="F15" s="126"/>
      <c r="G15" s="133">
        <f>'Amort Sch''s'!K19</f>
        <v>59070</v>
      </c>
      <c r="H15" s="123"/>
      <c r="I15" s="133">
        <f>'Amort Sch''s'!O19</f>
        <v>74810</v>
      </c>
      <c r="J15" s="123"/>
      <c r="K15" s="133">
        <f t="shared" si="0"/>
        <v>361712</v>
      </c>
      <c r="L15" s="120"/>
    </row>
    <row r="16" spans="1:13" ht="15" x14ac:dyDescent="0.4">
      <c r="A16" s="153"/>
      <c r="B16" s="127"/>
      <c r="C16" s="127"/>
      <c r="D16" s="127"/>
      <c r="E16" s="127"/>
      <c r="F16" s="127"/>
      <c r="G16" s="123"/>
      <c r="H16" s="123"/>
      <c r="I16" s="123"/>
      <c r="J16" s="123"/>
      <c r="K16" s="123"/>
      <c r="L16" s="120"/>
    </row>
    <row r="17" spans="1:12" ht="15.4" thickBot="1" x14ac:dyDescent="0.45">
      <c r="A17" s="153"/>
      <c r="B17" s="129" t="s">
        <v>0</v>
      </c>
      <c r="C17" s="255">
        <f>SUM(C11:C16)</f>
        <v>1084350</v>
      </c>
      <c r="D17" s="129"/>
      <c r="E17" s="255">
        <f>SUM(E11:E16)</f>
        <v>93410</v>
      </c>
      <c r="F17" s="129"/>
      <c r="G17" s="255">
        <f>SUM(G11:G16)</f>
        <v>295350</v>
      </c>
      <c r="H17" s="123"/>
      <c r="I17" s="256">
        <f>SUM(I11:I16)</f>
        <v>368777.22</v>
      </c>
      <c r="J17" s="123"/>
      <c r="K17" s="256">
        <f t="shared" ref="K17" si="1">SUM(K11:K16)</f>
        <v>1841887.22</v>
      </c>
      <c r="L17" s="120"/>
    </row>
    <row r="18" spans="1:12" ht="15.4" thickTop="1" x14ac:dyDescent="0.4">
      <c r="A18" s="153"/>
      <c r="B18" s="128"/>
      <c r="C18" s="128"/>
      <c r="D18" s="128"/>
      <c r="E18" s="128"/>
      <c r="F18" s="128"/>
      <c r="G18" s="128"/>
      <c r="H18" s="123"/>
      <c r="I18" s="123"/>
      <c r="J18" s="123"/>
      <c r="K18" s="123"/>
      <c r="L18" s="120"/>
    </row>
    <row r="19" spans="1:12" ht="15.4" thickBot="1" x14ac:dyDescent="0.45">
      <c r="A19" s="153"/>
      <c r="B19" s="124" t="s">
        <v>180</v>
      </c>
      <c r="C19" s="256">
        <f>ROUND(AVERAGE(C11:C15),0)</f>
        <v>216870</v>
      </c>
      <c r="D19" s="128"/>
      <c r="E19" s="256">
        <f>ROUND(AVERAGE(E11:E15),0)</f>
        <v>18682</v>
      </c>
      <c r="F19" s="128"/>
      <c r="G19" s="256">
        <f>ROUND(AVERAGE(G11:G15),0)</f>
        <v>59070</v>
      </c>
      <c r="H19" s="123"/>
      <c r="I19" s="256">
        <f>ROUND(AVERAGE(I11:I15),0)</f>
        <v>73755</v>
      </c>
      <c r="J19" s="123"/>
      <c r="K19" s="256">
        <f t="shared" ref="K19" si="2">ROUND(AVERAGE(K11:K15),0)</f>
        <v>368377</v>
      </c>
      <c r="L19" s="120"/>
    </row>
    <row r="20" spans="1:12" ht="15.4" thickTop="1" x14ac:dyDescent="0.4">
      <c r="A20" s="154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55"/>
    </row>
    <row r="21" spans="1:12" ht="15" x14ac:dyDescent="0.4">
      <c r="A21" s="116"/>
      <c r="B21" s="123"/>
      <c r="C21" s="123"/>
      <c r="D21" s="123"/>
      <c r="E21" s="123"/>
      <c r="F21" s="123"/>
      <c r="G21" s="123"/>
      <c r="H21" s="123"/>
      <c r="J21" s="123"/>
    </row>
    <row r="22" spans="1:12" ht="15" x14ac:dyDescent="0.4">
      <c r="A22" s="116"/>
      <c r="B22" s="123"/>
      <c r="C22" s="123"/>
      <c r="D22" s="123"/>
      <c r="E22" s="123"/>
      <c r="F22" s="123"/>
      <c r="G22" s="123"/>
      <c r="H22" s="123"/>
      <c r="J22" s="123"/>
    </row>
    <row r="23" spans="1:12" ht="15" x14ac:dyDescent="0.4">
      <c r="A23" s="116"/>
      <c r="B23" s="129"/>
      <c r="C23" s="129"/>
      <c r="D23" s="129"/>
      <c r="E23" s="129"/>
      <c r="F23" s="129"/>
      <c r="G23" s="129"/>
      <c r="H23" s="123"/>
      <c r="J23" s="123"/>
    </row>
    <row r="24" spans="1:12" ht="15" x14ac:dyDescent="0.4">
      <c r="A24" s="116"/>
      <c r="B24" s="130"/>
      <c r="C24" s="130"/>
      <c r="D24" s="130"/>
      <c r="E24" s="130"/>
      <c r="F24" s="130"/>
      <c r="G24" s="130"/>
    </row>
  </sheetData>
  <mergeCells count="5">
    <mergeCell ref="C9:K9"/>
    <mergeCell ref="B3:K3"/>
    <mergeCell ref="B4:K4"/>
    <mergeCell ref="B5:K5"/>
    <mergeCell ref="B6:K6"/>
  </mergeCells>
  <printOptions horizontalCentered="1"/>
  <pageMargins left="0.6" right="0.5" top="1.5" bottom="0.75" header="0.3" footer="0.3"/>
  <pageSetup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E1F2-74E5-4F6D-806B-855C7FE3AD45}">
  <dimension ref="A1:T54"/>
  <sheetViews>
    <sheetView showGridLines="0" tabSelected="1" workbookViewId="0">
      <selection activeCell="A6" sqref="A6:O53"/>
    </sheetView>
  </sheetViews>
  <sheetFormatPr defaultRowHeight="15" x14ac:dyDescent="0.4"/>
  <cols>
    <col min="1" max="1" width="10.109375" style="257" customWidth="1"/>
    <col min="2" max="2" width="9" customWidth="1"/>
    <col min="3" max="4" width="8.77734375" customWidth="1"/>
    <col min="5" max="5" width="12.88671875" customWidth="1"/>
    <col min="6" max="6" width="9.21875" customWidth="1"/>
    <col min="7" max="7" width="8.33203125" customWidth="1"/>
    <col min="8" max="8" width="11.21875" customWidth="1"/>
    <col min="9" max="10" width="9.109375" customWidth="1"/>
    <col min="11" max="11" width="11.6640625" customWidth="1"/>
    <col min="12" max="12" width="8.77734375" customWidth="1"/>
    <col min="13" max="14" width="9.21875" customWidth="1"/>
    <col min="15" max="15" width="10" customWidth="1"/>
    <col min="16" max="18" width="9.109375" customWidth="1"/>
    <col min="19" max="19" width="11.109375" customWidth="1"/>
    <col min="20" max="20" width="9.109375" customWidth="1"/>
  </cols>
  <sheetData>
    <row r="1" spans="1:20" x14ac:dyDescent="0.4">
      <c r="A1" s="257" t="s">
        <v>294</v>
      </c>
      <c r="B1" s="278" t="s">
        <v>275</v>
      </c>
    </row>
    <row r="2" spans="1:20" x14ac:dyDescent="0.4">
      <c r="B2" s="278" t="s">
        <v>358</v>
      </c>
    </row>
    <row r="5" spans="1:20" x14ac:dyDescent="0.4">
      <c r="B5" t="s">
        <v>387</v>
      </c>
      <c r="F5" t="s">
        <v>388</v>
      </c>
      <c r="I5" t="s">
        <v>389</v>
      </c>
      <c r="L5" t="s">
        <v>390</v>
      </c>
      <c r="P5" t="str">
        <f>_xlfn.CONCAT(P6," ",P7)</f>
        <v xml:space="preserve"> </v>
      </c>
    </row>
    <row r="6" spans="1:20" s="257" customFormat="1" x14ac:dyDescent="0.4">
      <c r="A6" s="279" t="s">
        <v>359</v>
      </c>
      <c r="B6" s="636" t="s">
        <v>360</v>
      </c>
      <c r="C6" s="637"/>
      <c r="D6" s="637"/>
      <c r="E6" s="638"/>
      <c r="F6" s="636" t="s">
        <v>361</v>
      </c>
      <c r="G6" s="637"/>
      <c r="H6" s="638"/>
      <c r="I6" s="636" t="s">
        <v>361</v>
      </c>
      <c r="J6" s="637"/>
      <c r="K6" s="638"/>
      <c r="L6" s="636" t="s">
        <v>360</v>
      </c>
      <c r="M6" s="637"/>
      <c r="N6" s="637"/>
      <c r="O6" s="638"/>
      <c r="P6" s="639"/>
      <c r="Q6" s="640"/>
      <c r="R6" s="640"/>
      <c r="S6" s="641"/>
    </row>
    <row r="7" spans="1:20" s="257" customFormat="1" x14ac:dyDescent="0.4">
      <c r="A7" s="280" t="s">
        <v>362</v>
      </c>
      <c r="B7" s="630" t="s">
        <v>363</v>
      </c>
      <c r="C7" s="631"/>
      <c r="D7" s="631"/>
      <c r="E7" s="632"/>
      <c r="F7" s="630">
        <v>2014</v>
      </c>
      <c r="G7" s="631"/>
      <c r="H7" s="632"/>
      <c r="I7" s="630">
        <v>2018</v>
      </c>
      <c r="J7" s="631"/>
      <c r="K7" s="632"/>
      <c r="L7" s="630" t="s">
        <v>364</v>
      </c>
      <c r="M7" s="631"/>
      <c r="N7" s="631"/>
      <c r="O7" s="632"/>
      <c r="P7" s="633"/>
      <c r="Q7" s="634"/>
      <c r="R7" s="634"/>
      <c r="S7" s="635"/>
    </row>
    <row r="8" spans="1:20" s="257" customFormat="1" x14ac:dyDescent="0.4">
      <c r="A8" s="280" t="s">
        <v>365</v>
      </c>
      <c r="B8" s="645" t="s">
        <v>366</v>
      </c>
      <c r="C8" s="646"/>
      <c r="D8" s="646"/>
      <c r="E8" s="647"/>
      <c r="F8" s="645">
        <v>2.75E-2</v>
      </c>
      <c r="G8" s="646"/>
      <c r="H8" s="647"/>
      <c r="I8" s="645">
        <v>2.75E-2</v>
      </c>
      <c r="J8" s="646"/>
      <c r="K8" s="647"/>
      <c r="L8" s="645" t="s">
        <v>367</v>
      </c>
      <c r="M8" s="646"/>
      <c r="N8" s="646"/>
      <c r="O8" s="647"/>
      <c r="P8" s="642"/>
      <c r="Q8" s="643"/>
      <c r="R8" s="643"/>
      <c r="S8" s="644"/>
    </row>
    <row r="9" spans="1:20" s="257" customFormat="1" x14ac:dyDescent="0.4">
      <c r="A9" s="280" t="s">
        <v>368</v>
      </c>
      <c r="B9" s="645">
        <v>3.8399999999999997E-2</v>
      </c>
      <c r="C9" s="646"/>
      <c r="D9" s="646"/>
      <c r="E9" s="647"/>
      <c r="F9" s="645" t="s">
        <v>369</v>
      </c>
      <c r="G9" s="646"/>
      <c r="H9" s="647"/>
      <c r="I9" s="645" t="s">
        <v>369</v>
      </c>
      <c r="J9" s="646"/>
      <c r="K9" s="647"/>
      <c r="L9" s="645" t="s">
        <v>370</v>
      </c>
      <c r="M9" s="646"/>
      <c r="N9" s="646"/>
      <c r="O9" s="647"/>
      <c r="P9" s="284"/>
      <c r="Q9" s="285"/>
      <c r="R9" s="285"/>
      <c r="S9" s="286"/>
    </row>
    <row r="10" spans="1:20" s="257" customFormat="1" x14ac:dyDescent="0.4">
      <c r="A10" s="280" t="s">
        <v>371</v>
      </c>
      <c r="B10" s="630" t="s">
        <v>372</v>
      </c>
      <c r="C10" s="631"/>
      <c r="D10" s="631"/>
      <c r="E10" s="632"/>
      <c r="F10" s="630" t="s">
        <v>373</v>
      </c>
      <c r="G10" s="631"/>
      <c r="H10" s="632"/>
      <c r="I10" s="630" t="s">
        <v>374</v>
      </c>
      <c r="J10" s="631"/>
      <c r="K10" s="632"/>
      <c r="L10" s="630" t="s">
        <v>375</v>
      </c>
      <c r="M10" s="631"/>
      <c r="N10" s="631"/>
      <c r="O10" s="632"/>
      <c r="P10" s="633" t="s">
        <v>0</v>
      </c>
      <c r="Q10" s="634"/>
      <c r="R10" s="634"/>
      <c r="S10" s="635"/>
    </row>
    <row r="11" spans="1:20" s="257" customFormat="1" x14ac:dyDescent="0.4">
      <c r="A11" s="280" t="s">
        <v>376</v>
      </c>
      <c r="B11" s="630" t="s">
        <v>377</v>
      </c>
      <c r="C11" s="631"/>
      <c r="D11" s="631"/>
      <c r="E11" s="632"/>
      <c r="F11" s="630" t="s">
        <v>378</v>
      </c>
      <c r="G11" s="631"/>
      <c r="H11" s="632"/>
      <c r="I11" s="630" t="s">
        <v>379</v>
      </c>
      <c r="J11" s="631"/>
      <c r="K11" s="632"/>
      <c r="L11" s="630" t="s">
        <v>377</v>
      </c>
      <c r="M11" s="631"/>
      <c r="N11" s="631"/>
      <c r="O11" s="632"/>
      <c r="P11" s="281"/>
      <c r="Q11" s="282"/>
      <c r="R11" s="282"/>
      <c r="S11" s="283"/>
    </row>
    <row r="12" spans="1:20" s="257" customFormat="1" x14ac:dyDescent="0.4">
      <c r="A12" s="280" t="s">
        <v>380</v>
      </c>
      <c r="B12" s="630" t="s">
        <v>381</v>
      </c>
      <c r="C12" s="631"/>
      <c r="D12" s="631"/>
      <c r="E12" s="632"/>
      <c r="F12" s="630" t="s">
        <v>382</v>
      </c>
      <c r="G12" s="631"/>
      <c r="H12" s="632"/>
      <c r="I12" s="630" t="s">
        <v>383</v>
      </c>
      <c r="J12" s="631"/>
      <c r="K12" s="632"/>
      <c r="L12" s="630" t="s">
        <v>381</v>
      </c>
      <c r="M12" s="631"/>
      <c r="N12" s="631"/>
      <c r="O12" s="632"/>
      <c r="P12" s="281"/>
      <c r="Q12" s="282"/>
      <c r="R12" s="282"/>
      <c r="S12" s="283"/>
    </row>
    <row r="13" spans="1:20" s="257" customFormat="1" x14ac:dyDescent="0.4">
      <c r="A13" s="287" t="s">
        <v>384</v>
      </c>
      <c r="B13" s="651">
        <v>3045000</v>
      </c>
      <c r="C13" s="652"/>
      <c r="D13" s="652"/>
      <c r="E13" s="653"/>
      <c r="F13" s="651">
        <v>437000</v>
      </c>
      <c r="G13" s="652"/>
      <c r="H13" s="653"/>
      <c r="I13" s="651">
        <v>1422000</v>
      </c>
      <c r="J13" s="652"/>
      <c r="K13" s="653"/>
      <c r="L13" s="651">
        <v>855000</v>
      </c>
      <c r="M13" s="652"/>
      <c r="N13" s="652"/>
      <c r="O13" s="653"/>
      <c r="P13" s="648">
        <f>SUM(B13:E13)</f>
        <v>3045000</v>
      </c>
      <c r="Q13" s="649"/>
      <c r="R13" s="649"/>
      <c r="S13" s="650"/>
    </row>
    <row r="14" spans="1:20" s="257" customFormat="1" x14ac:dyDescent="0.4">
      <c r="A14" s="288" t="s">
        <v>385</v>
      </c>
      <c r="B14" s="289" t="s">
        <v>30</v>
      </c>
      <c r="C14" s="290" t="s">
        <v>31</v>
      </c>
      <c r="D14" s="290" t="s">
        <v>386</v>
      </c>
      <c r="E14" s="291" t="s">
        <v>57</v>
      </c>
      <c r="F14" s="289" t="s">
        <v>30</v>
      </c>
      <c r="G14" s="290" t="s">
        <v>31</v>
      </c>
      <c r="H14" s="291" t="s">
        <v>57</v>
      </c>
      <c r="I14" s="289" t="s">
        <v>30</v>
      </c>
      <c r="J14" s="290" t="s">
        <v>31</v>
      </c>
      <c r="K14" s="291" t="s">
        <v>57</v>
      </c>
      <c r="L14" s="289" t="s">
        <v>30</v>
      </c>
      <c r="M14" s="290" t="s">
        <v>31</v>
      </c>
      <c r="N14" s="290" t="s">
        <v>386</v>
      </c>
      <c r="O14" s="291" t="s">
        <v>57</v>
      </c>
      <c r="P14" s="292" t="s">
        <v>30</v>
      </c>
      <c r="Q14" s="293" t="s">
        <v>31</v>
      </c>
      <c r="R14" s="293" t="s">
        <v>386</v>
      </c>
      <c r="S14" s="294" t="s">
        <v>57</v>
      </c>
    </row>
    <row r="15" spans="1:20" x14ac:dyDescent="0.4">
      <c r="A15" s="280">
        <v>2022</v>
      </c>
      <c r="B15" s="295">
        <v>150000</v>
      </c>
      <c r="C15" s="296">
        <v>72300</v>
      </c>
      <c r="D15" s="296">
        <v>450</v>
      </c>
      <c r="E15" s="297">
        <f t="shared" ref="E15:E52" si="0">+B15+C15+D15</f>
        <v>222750</v>
      </c>
      <c r="F15" s="295">
        <v>7633</v>
      </c>
      <c r="G15" s="296">
        <v>11049</v>
      </c>
      <c r="H15" s="297">
        <f>+F15+G15</f>
        <v>18682</v>
      </c>
      <c r="I15" s="295">
        <v>22118</v>
      </c>
      <c r="J15" s="296">
        <v>36952</v>
      </c>
      <c r="K15" s="297">
        <f>+I15+J15</f>
        <v>59070</v>
      </c>
      <c r="L15" s="295">
        <v>45000</v>
      </c>
      <c r="M15" s="296">
        <v>24687.22</v>
      </c>
      <c r="N15" s="296">
        <v>350</v>
      </c>
      <c r="O15" s="297">
        <v>70137.22</v>
      </c>
      <c r="P15" s="298">
        <f t="shared" ref="P15:P51" si="1">+B15+F15+I15+L15</f>
        <v>224751</v>
      </c>
      <c r="Q15" s="299">
        <f t="shared" ref="Q15:Q51" si="2">+C15+G15+J15+M15</f>
        <v>144988.22</v>
      </c>
      <c r="R15" s="299" t="e">
        <f>+D15+#REF!+#REF!+N15</f>
        <v>#REF!</v>
      </c>
      <c r="S15" s="300" t="e">
        <f t="shared" ref="S15:S52" si="3">+P15+Q15+R15</f>
        <v>#REF!</v>
      </c>
      <c r="T15" s="137"/>
    </row>
    <row r="16" spans="1:20" x14ac:dyDescent="0.4">
      <c r="A16" s="280">
        <v>2023</v>
      </c>
      <c r="B16" s="295">
        <v>155000</v>
      </c>
      <c r="C16" s="296">
        <f>35100+32000</f>
        <v>67100</v>
      </c>
      <c r="D16" s="296">
        <v>450</v>
      </c>
      <c r="E16" s="297">
        <f t="shared" si="0"/>
        <v>222550</v>
      </c>
      <c r="F16" s="295">
        <v>7843</v>
      </c>
      <c r="G16" s="296">
        <v>10839</v>
      </c>
      <c r="H16" s="297">
        <f t="shared" ref="H16:H52" si="4">+F16+G16</f>
        <v>18682</v>
      </c>
      <c r="I16" s="295">
        <v>22726.400481024029</v>
      </c>
      <c r="J16" s="296">
        <v>36343.599518975971</v>
      </c>
      <c r="K16" s="297">
        <f t="shared" ref="K16:K52" si="5">+I16+J16</f>
        <v>59070</v>
      </c>
      <c r="L16" s="295">
        <v>50000</v>
      </c>
      <c r="M16" s="296">
        <f>11290+11290</f>
        <v>22580</v>
      </c>
      <c r="N16" s="296">
        <v>350</v>
      </c>
      <c r="O16" s="297">
        <f t="shared" ref="O16:O52" si="6">+L16+M16+N16</f>
        <v>72930</v>
      </c>
      <c r="P16" s="298">
        <f t="shared" si="1"/>
        <v>235569.40048102403</v>
      </c>
      <c r="Q16" s="299">
        <f t="shared" si="2"/>
        <v>136862.59951897597</v>
      </c>
      <c r="R16" s="299" t="e">
        <f>+D16+#REF!+#REF!+N16</f>
        <v>#REF!</v>
      </c>
      <c r="S16" s="300" t="e">
        <f t="shared" si="3"/>
        <v>#REF!</v>
      </c>
    </row>
    <row r="17" spans="1:19" x14ac:dyDescent="0.4">
      <c r="A17" s="280">
        <v>2024</v>
      </c>
      <c r="B17" s="295">
        <v>160000</v>
      </c>
      <c r="C17" s="296">
        <f>32000+28800</f>
        <v>60800</v>
      </c>
      <c r="D17" s="296">
        <v>450</v>
      </c>
      <c r="E17" s="297">
        <f t="shared" si="0"/>
        <v>221250</v>
      </c>
      <c r="F17" s="295">
        <v>8058</v>
      </c>
      <c r="G17" s="296">
        <v>10624</v>
      </c>
      <c r="H17" s="297">
        <f t="shared" si="4"/>
        <v>18682</v>
      </c>
      <c r="I17" s="295">
        <v>23351.376494252196</v>
      </c>
      <c r="J17" s="296">
        <v>35718.623505747804</v>
      </c>
      <c r="K17" s="297">
        <f t="shared" si="5"/>
        <v>59070</v>
      </c>
      <c r="L17" s="295">
        <v>55000</v>
      </c>
      <c r="M17" s="296">
        <f>10490+10490</f>
        <v>20980</v>
      </c>
      <c r="N17" s="296">
        <v>350</v>
      </c>
      <c r="O17" s="297">
        <f t="shared" si="6"/>
        <v>76330</v>
      </c>
      <c r="P17" s="298">
        <f t="shared" si="1"/>
        <v>246409.37649425218</v>
      </c>
      <c r="Q17" s="299">
        <f t="shared" si="2"/>
        <v>128122.6235057478</v>
      </c>
      <c r="R17" s="299" t="e">
        <f>+D17+#REF!+#REF!+N17</f>
        <v>#REF!</v>
      </c>
      <c r="S17" s="300" t="e">
        <f t="shared" si="3"/>
        <v>#REF!</v>
      </c>
    </row>
    <row r="18" spans="1:19" x14ac:dyDescent="0.4">
      <c r="A18" s="280">
        <v>2025</v>
      </c>
      <c r="B18" s="295">
        <v>165000</v>
      </c>
      <c r="C18" s="296">
        <f>28800+25500</f>
        <v>54300</v>
      </c>
      <c r="D18" s="296">
        <v>450</v>
      </c>
      <c r="E18" s="297">
        <f t="shared" si="0"/>
        <v>219750</v>
      </c>
      <c r="F18" s="295">
        <v>8280</v>
      </c>
      <c r="G18" s="296">
        <v>10402</v>
      </c>
      <c r="H18" s="297">
        <f t="shared" si="4"/>
        <v>18682</v>
      </c>
      <c r="I18" s="295">
        <v>23993.539347844126</v>
      </c>
      <c r="J18" s="296">
        <v>35076.460652155874</v>
      </c>
      <c r="K18" s="297">
        <f t="shared" si="5"/>
        <v>59070</v>
      </c>
      <c r="L18" s="295">
        <v>55000</v>
      </c>
      <c r="M18" s="296">
        <f>9610+9610</f>
        <v>19220</v>
      </c>
      <c r="N18" s="296">
        <v>350</v>
      </c>
      <c r="O18" s="297">
        <f t="shared" si="6"/>
        <v>74570</v>
      </c>
      <c r="P18" s="298">
        <f t="shared" si="1"/>
        <v>252273.53934784414</v>
      </c>
      <c r="Q18" s="299">
        <f t="shared" si="2"/>
        <v>118998.46065215587</v>
      </c>
      <c r="R18" s="299" t="e">
        <f>+D18+#REF!+#REF!+N18</f>
        <v>#REF!</v>
      </c>
      <c r="S18" s="300" t="e">
        <f t="shared" si="3"/>
        <v>#REF!</v>
      </c>
    </row>
    <row r="19" spans="1:19" x14ac:dyDescent="0.4">
      <c r="A19" s="280">
        <v>2026</v>
      </c>
      <c r="B19" s="295">
        <v>170000</v>
      </c>
      <c r="C19" s="296">
        <f>25500+22100</f>
        <v>47600</v>
      </c>
      <c r="D19" s="296">
        <v>450</v>
      </c>
      <c r="E19" s="297">
        <f t="shared" si="0"/>
        <v>218050</v>
      </c>
      <c r="F19" s="295">
        <v>8508</v>
      </c>
      <c r="G19" s="296">
        <v>10174</v>
      </c>
      <c r="H19" s="297">
        <f t="shared" si="4"/>
        <v>18682</v>
      </c>
      <c r="I19" s="295">
        <v>24653.361679909845</v>
      </c>
      <c r="J19" s="296">
        <v>34416.638320090155</v>
      </c>
      <c r="K19" s="297">
        <f t="shared" si="5"/>
        <v>59070</v>
      </c>
      <c r="L19" s="295">
        <v>55000</v>
      </c>
      <c r="M19" s="296">
        <f>9730+9730</f>
        <v>19460</v>
      </c>
      <c r="N19" s="296">
        <v>350</v>
      </c>
      <c r="O19" s="297">
        <f t="shared" si="6"/>
        <v>74810</v>
      </c>
      <c r="P19" s="298">
        <f t="shared" si="1"/>
        <v>258161.36167990984</v>
      </c>
      <c r="Q19" s="299">
        <f t="shared" si="2"/>
        <v>111650.63832009016</v>
      </c>
      <c r="R19" s="299" t="e">
        <f>+D19+#REF!+#REF!+N19</f>
        <v>#REF!</v>
      </c>
      <c r="S19" s="300" t="e">
        <f t="shared" si="3"/>
        <v>#REF!</v>
      </c>
    </row>
    <row r="20" spans="1:19" x14ac:dyDescent="0.4">
      <c r="A20" s="280">
        <v>2027</v>
      </c>
      <c r="B20" s="295">
        <v>175000</v>
      </c>
      <c r="C20" s="296">
        <f>22100+18600</f>
        <v>40700</v>
      </c>
      <c r="D20" s="296">
        <v>450</v>
      </c>
      <c r="E20" s="297">
        <f t="shared" si="0"/>
        <v>216150</v>
      </c>
      <c r="F20" s="295">
        <v>8742</v>
      </c>
      <c r="G20" s="296">
        <v>9940</v>
      </c>
      <c r="H20" s="297">
        <f t="shared" si="4"/>
        <v>18682</v>
      </c>
      <c r="I20" s="295">
        <v>25331.329126107361</v>
      </c>
      <c r="J20" s="296">
        <v>33738.670873892639</v>
      </c>
      <c r="K20" s="297">
        <f t="shared" si="5"/>
        <v>59070</v>
      </c>
      <c r="L20" s="295">
        <v>60000</v>
      </c>
      <c r="M20" s="296">
        <f>7850+7850</f>
        <v>15700</v>
      </c>
      <c r="N20" s="296">
        <v>350</v>
      </c>
      <c r="O20" s="297">
        <f t="shared" si="6"/>
        <v>76050</v>
      </c>
      <c r="P20" s="298">
        <f t="shared" si="1"/>
        <v>269073.32912610739</v>
      </c>
      <c r="Q20" s="299">
        <f t="shared" si="2"/>
        <v>100078.67087389264</v>
      </c>
      <c r="R20" s="299" t="e">
        <f>+D20+#REF!+#REF!+N20</f>
        <v>#REF!</v>
      </c>
      <c r="S20" s="300" t="e">
        <f t="shared" si="3"/>
        <v>#REF!</v>
      </c>
    </row>
    <row r="21" spans="1:19" x14ac:dyDescent="0.4">
      <c r="A21" s="280">
        <v>2028</v>
      </c>
      <c r="B21" s="295">
        <v>175000</v>
      </c>
      <c r="C21" s="296">
        <f>18600+15100</f>
        <v>33700</v>
      </c>
      <c r="D21" s="296">
        <v>450</v>
      </c>
      <c r="E21" s="297">
        <f t="shared" si="0"/>
        <v>209150</v>
      </c>
      <c r="F21" s="295">
        <v>8981</v>
      </c>
      <c r="G21" s="296">
        <v>9701</v>
      </c>
      <c r="H21" s="297">
        <f t="shared" si="4"/>
        <v>18682</v>
      </c>
      <c r="I21" s="295">
        <v>26027.940677075312</v>
      </c>
      <c r="J21" s="296">
        <v>33042.059322924688</v>
      </c>
      <c r="K21" s="297">
        <f t="shared" si="5"/>
        <v>59070</v>
      </c>
      <c r="L21" s="295">
        <v>60000</v>
      </c>
      <c r="M21" s="296">
        <f>6890+6890</f>
        <v>13780</v>
      </c>
      <c r="N21" s="296">
        <v>350</v>
      </c>
      <c r="O21" s="297">
        <f t="shared" si="6"/>
        <v>74130</v>
      </c>
      <c r="P21" s="298">
        <f t="shared" si="1"/>
        <v>270008.9406770753</v>
      </c>
      <c r="Q21" s="299">
        <f t="shared" si="2"/>
        <v>90223.059322924688</v>
      </c>
      <c r="R21" s="299" t="e">
        <f>+D21+#REF!+#REF!+N21</f>
        <v>#REF!</v>
      </c>
      <c r="S21" s="300" t="e">
        <f t="shared" si="3"/>
        <v>#REF!</v>
      </c>
    </row>
    <row r="22" spans="1:19" x14ac:dyDescent="0.4">
      <c r="A22" s="280">
        <v>2029</v>
      </c>
      <c r="B22" s="295">
        <v>170000</v>
      </c>
      <c r="C22" s="296">
        <f>15100+11700</f>
        <v>26800</v>
      </c>
      <c r="D22" s="296">
        <v>450</v>
      </c>
      <c r="E22" s="297">
        <f t="shared" si="0"/>
        <v>197250</v>
      </c>
      <c r="F22" s="295">
        <v>9229</v>
      </c>
      <c r="G22" s="296">
        <v>9453</v>
      </c>
      <c r="H22" s="297">
        <f t="shared" si="4"/>
        <v>18682</v>
      </c>
      <c r="I22" s="295">
        <v>26743.709045694883</v>
      </c>
      <c r="J22" s="296">
        <v>32326.290954305117</v>
      </c>
      <c r="K22" s="297">
        <f t="shared" si="5"/>
        <v>59070</v>
      </c>
      <c r="L22" s="295">
        <v>65000</v>
      </c>
      <c r="M22" s="296">
        <f>5930+5930</f>
        <v>11860</v>
      </c>
      <c r="N22" s="296">
        <v>350</v>
      </c>
      <c r="O22" s="297">
        <f t="shared" si="6"/>
        <v>77210</v>
      </c>
      <c r="P22" s="298">
        <f t="shared" si="1"/>
        <v>270972.70904569491</v>
      </c>
      <c r="Q22" s="299">
        <f t="shared" si="2"/>
        <v>80439.290954305121</v>
      </c>
      <c r="R22" s="299" t="e">
        <f>+D22+#REF!+#REF!+N22</f>
        <v>#REF!</v>
      </c>
      <c r="S22" s="300" t="e">
        <f t="shared" si="3"/>
        <v>#REF!</v>
      </c>
    </row>
    <row r="23" spans="1:19" x14ac:dyDescent="0.4">
      <c r="A23" s="280">
        <v>2030</v>
      </c>
      <c r="B23" s="295">
        <v>130000</v>
      </c>
      <c r="C23" s="296">
        <f>11700+9100</f>
        <v>20800</v>
      </c>
      <c r="D23" s="296">
        <v>450</v>
      </c>
      <c r="E23" s="297">
        <f t="shared" si="0"/>
        <v>151250</v>
      </c>
      <c r="F23" s="295">
        <v>9483</v>
      </c>
      <c r="G23" s="296">
        <v>9199</v>
      </c>
      <c r="H23" s="297">
        <f t="shared" si="4"/>
        <v>18682</v>
      </c>
      <c r="I23" s="295">
        <v>27479.161044451495</v>
      </c>
      <c r="J23" s="296">
        <v>31590.838955548505</v>
      </c>
      <c r="K23" s="297">
        <f t="shared" si="5"/>
        <v>59070</v>
      </c>
      <c r="L23" s="295">
        <v>65000</v>
      </c>
      <c r="M23" s="296">
        <f>4890+4890</f>
        <v>9780</v>
      </c>
      <c r="N23" s="296">
        <v>350</v>
      </c>
      <c r="O23" s="297">
        <f t="shared" si="6"/>
        <v>75130</v>
      </c>
      <c r="P23" s="298">
        <f t="shared" si="1"/>
        <v>231962.1610444515</v>
      </c>
      <c r="Q23" s="299">
        <f t="shared" si="2"/>
        <v>71369.838955548505</v>
      </c>
      <c r="R23" s="299" t="e">
        <f>+D23+#REF!+#REF!+N23</f>
        <v>#REF!</v>
      </c>
      <c r="S23" s="300" t="e">
        <f t="shared" si="3"/>
        <v>#REF!</v>
      </c>
    </row>
    <row r="24" spans="1:19" x14ac:dyDescent="0.4">
      <c r="A24" s="280">
        <v>2031</v>
      </c>
      <c r="B24" s="295">
        <v>125000</v>
      </c>
      <c r="C24" s="296">
        <f>9100+6600</f>
        <v>15700</v>
      </c>
      <c r="D24" s="296">
        <v>450</v>
      </c>
      <c r="E24" s="297">
        <f t="shared" si="0"/>
        <v>141150</v>
      </c>
      <c r="F24" s="295">
        <v>9743</v>
      </c>
      <c r="G24" s="296">
        <v>8939</v>
      </c>
      <c r="H24" s="297">
        <f t="shared" si="4"/>
        <v>18682</v>
      </c>
      <c r="I24" s="295">
        <v>28234.837973173908</v>
      </c>
      <c r="J24" s="296">
        <v>30835.162026826092</v>
      </c>
      <c r="K24" s="297">
        <f t="shared" si="5"/>
        <v>59070</v>
      </c>
      <c r="L24" s="295">
        <v>65000</v>
      </c>
      <c r="M24" s="296">
        <f>4175+4175</f>
        <v>8350</v>
      </c>
      <c r="N24" s="296">
        <v>350</v>
      </c>
      <c r="O24" s="297">
        <f t="shared" si="6"/>
        <v>73700</v>
      </c>
      <c r="P24" s="298">
        <f t="shared" si="1"/>
        <v>227977.83797317391</v>
      </c>
      <c r="Q24" s="299">
        <f t="shared" si="2"/>
        <v>63824.162026826089</v>
      </c>
      <c r="R24" s="299" t="e">
        <f>+D24+#REF!+#REF!+N24</f>
        <v>#REF!</v>
      </c>
      <c r="S24" s="300" t="e">
        <f t="shared" si="3"/>
        <v>#REF!</v>
      </c>
    </row>
    <row r="25" spans="1:19" x14ac:dyDescent="0.4">
      <c r="A25" s="280">
        <v>2032</v>
      </c>
      <c r="B25" s="295">
        <v>130000</v>
      </c>
      <c r="C25" s="296">
        <f>6600+4000</f>
        <v>10600</v>
      </c>
      <c r="D25" s="296">
        <v>450</v>
      </c>
      <c r="E25" s="297">
        <f t="shared" si="0"/>
        <v>141050</v>
      </c>
      <c r="F25" s="295">
        <v>10011</v>
      </c>
      <c r="G25" s="296">
        <v>8671</v>
      </c>
      <c r="H25" s="297">
        <f t="shared" si="4"/>
        <v>18682</v>
      </c>
      <c r="I25" s="295">
        <v>29011.296017436191</v>
      </c>
      <c r="J25" s="296">
        <v>30058.703982563809</v>
      </c>
      <c r="K25" s="297">
        <f t="shared" si="5"/>
        <v>59070</v>
      </c>
      <c r="L25" s="295">
        <v>65000</v>
      </c>
      <c r="M25" s="296">
        <f>3460+3460</f>
        <v>6920</v>
      </c>
      <c r="N25" s="296">
        <v>350</v>
      </c>
      <c r="O25" s="297">
        <f t="shared" si="6"/>
        <v>72270</v>
      </c>
      <c r="P25" s="298">
        <f t="shared" si="1"/>
        <v>234022.29601743619</v>
      </c>
      <c r="Q25" s="299">
        <f t="shared" si="2"/>
        <v>56249.703982563806</v>
      </c>
      <c r="R25" s="299" t="e">
        <f>+D25+#REF!+#REF!+N25</f>
        <v>#REF!</v>
      </c>
      <c r="S25" s="300" t="e">
        <f t="shared" si="3"/>
        <v>#REF!</v>
      </c>
    </row>
    <row r="26" spans="1:19" x14ac:dyDescent="0.4">
      <c r="A26" s="280">
        <v>2033</v>
      </c>
      <c r="B26" s="295">
        <v>105000</v>
      </c>
      <c r="C26" s="296">
        <f>4000+1900</f>
        <v>5900</v>
      </c>
      <c r="D26" s="296">
        <v>450</v>
      </c>
      <c r="E26" s="297">
        <f t="shared" si="0"/>
        <v>111350</v>
      </c>
      <c r="F26" s="295">
        <v>10287</v>
      </c>
      <c r="G26" s="296">
        <v>8395</v>
      </c>
      <c r="H26" s="297">
        <f t="shared" si="4"/>
        <v>18682</v>
      </c>
      <c r="I26" s="295">
        <v>29809.106657915683</v>
      </c>
      <c r="J26" s="296">
        <v>29260.893342084317</v>
      </c>
      <c r="K26" s="297">
        <f t="shared" si="5"/>
        <v>59070</v>
      </c>
      <c r="L26" s="295">
        <v>70000</v>
      </c>
      <c r="M26" s="296">
        <f>2712.5+2712.5</f>
        <v>5425</v>
      </c>
      <c r="N26" s="296">
        <v>350</v>
      </c>
      <c r="O26" s="297">
        <f t="shared" si="6"/>
        <v>75775</v>
      </c>
      <c r="P26" s="298">
        <f t="shared" si="1"/>
        <v>215096.10665791569</v>
      </c>
      <c r="Q26" s="299">
        <f t="shared" si="2"/>
        <v>48980.893342084317</v>
      </c>
      <c r="R26" s="299" t="e">
        <f>+D26+#REF!+#REF!+N26</f>
        <v>#REF!</v>
      </c>
      <c r="S26" s="300" t="e">
        <f t="shared" si="3"/>
        <v>#REF!</v>
      </c>
    </row>
    <row r="27" spans="1:19" x14ac:dyDescent="0.4">
      <c r="A27" s="280">
        <v>2034</v>
      </c>
      <c r="B27" s="295">
        <v>95000</v>
      </c>
      <c r="C27" s="296">
        <v>1900</v>
      </c>
      <c r="D27" s="296">
        <v>450</v>
      </c>
      <c r="E27" s="297">
        <f t="shared" si="0"/>
        <v>97350</v>
      </c>
      <c r="F27" s="295">
        <v>10570</v>
      </c>
      <c r="G27" s="296">
        <v>8112</v>
      </c>
      <c r="H27" s="297">
        <f t="shared" si="4"/>
        <v>18682</v>
      </c>
      <c r="I27" s="295">
        <v>30628.857091008362</v>
      </c>
      <c r="J27" s="296">
        <v>28441.142908991638</v>
      </c>
      <c r="K27" s="297">
        <f t="shared" si="5"/>
        <v>59070</v>
      </c>
      <c r="L27" s="295">
        <v>65000</v>
      </c>
      <c r="M27" s="296">
        <f>1872.5+1872.5</f>
        <v>3745</v>
      </c>
      <c r="N27" s="296">
        <v>350</v>
      </c>
      <c r="O27" s="297">
        <f t="shared" si="6"/>
        <v>69095</v>
      </c>
      <c r="P27" s="298">
        <f t="shared" si="1"/>
        <v>201198.85709100837</v>
      </c>
      <c r="Q27" s="299">
        <f t="shared" si="2"/>
        <v>42198.142908991635</v>
      </c>
      <c r="R27" s="299" t="e">
        <f>+D27+#REF!+#REF!+N27</f>
        <v>#REF!</v>
      </c>
      <c r="S27" s="300" t="e">
        <f t="shared" si="3"/>
        <v>#REF!</v>
      </c>
    </row>
    <row r="28" spans="1:19" x14ac:dyDescent="0.4">
      <c r="A28" s="280">
        <v>2035</v>
      </c>
      <c r="B28" s="295">
        <v>0</v>
      </c>
      <c r="C28" s="296">
        <v>0</v>
      </c>
      <c r="D28" s="296">
        <v>0</v>
      </c>
      <c r="E28" s="297">
        <f t="shared" si="0"/>
        <v>0</v>
      </c>
      <c r="F28" s="295">
        <v>10860</v>
      </c>
      <c r="G28" s="296">
        <v>7822</v>
      </c>
      <c r="H28" s="297">
        <f t="shared" si="4"/>
        <v>18682</v>
      </c>
      <c r="I28" s="295">
        <v>31471.150661011092</v>
      </c>
      <c r="J28" s="296">
        <v>27598.849338988908</v>
      </c>
      <c r="K28" s="297">
        <f t="shared" si="5"/>
        <v>59070</v>
      </c>
      <c r="L28" s="295">
        <v>40000</v>
      </c>
      <c r="M28" s="296">
        <f>1060+1060</f>
        <v>2120</v>
      </c>
      <c r="N28" s="296">
        <v>350</v>
      </c>
      <c r="O28" s="297">
        <f t="shared" si="6"/>
        <v>42470</v>
      </c>
      <c r="P28" s="298">
        <f t="shared" si="1"/>
        <v>82331.150661011096</v>
      </c>
      <c r="Q28" s="299">
        <f t="shared" si="2"/>
        <v>37540.849338988904</v>
      </c>
      <c r="R28" s="299" t="e">
        <f>+D28+#REF!+#REF!+N28</f>
        <v>#REF!</v>
      </c>
      <c r="S28" s="300" t="e">
        <f t="shared" si="3"/>
        <v>#REF!</v>
      </c>
    </row>
    <row r="29" spans="1:19" x14ac:dyDescent="0.4">
      <c r="A29" s="280">
        <v>2036</v>
      </c>
      <c r="B29" s="295">
        <v>0</v>
      </c>
      <c r="C29" s="296">
        <v>0</v>
      </c>
      <c r="D29" s="296">
        <v>0</v>
      </c>
      <c r="E29" s="297">
        <f t="shared" si="0"/>
        <v>0</v>
      </c>
      <c r="F29" s="295">
        <v>11159</v>
      </c>
      <c r="G29" s="296">
        <v>7523</v>
      </c>
      <c r="H29" s="297">
        <f t="shared" si="4"/>
        <v>18682</v>
      </c>
      <c r="I29" s="295">
        <v>32336.607304188899</v>
      </c>
      <c r="J29" s="296">
        <v>26733.392695811101</v>
      </c>
      <c r="K29" s="297">
        <f t="shared" si="5"/>
        <v>59070</v>
      </c>
      <c r="L29" s="295">
        <v>40000</v>
      </c>
      <c r="M29" s="296">
        <f>540+540</f>
        <v>1080</v>
      </c>
      <c r="N29" s="296">
        <v>350</v>
      </c>
      <c r="O29" s="297">
        <f t="shared" si="6"/>
        <v>41430</v>
      </c>
      <c r="P29" s="298">
        <f t="shared" si="1"/>
        <v>83495.607304188903</v>
      </c>
      <c r="Q29" s="299">
        <f t="shared" si="2"/>
        <v>35336.392695811097</v>
      </c>
      <c r="R29" s="299" t="e">
        <f>+D29+#REF!+#REF!+N29</f>
        <v>#REF!</v>
      </c>
      <c r="S29" s="300" t="e">
        <f t="shared" si="3"/>
        <v>#REF!</v>
      </c>
    </row>
    <row r="30" spans="1:19" x14ac:dyDescent="0.4">
      <c r="A30" s="280">
        <v>2037</v>
      </c>
      <c r="B30" s="295">
        <v>0</v>
      </c>
      <c r="C30" s="296">
        <v>0</v>
      </c>
      <c r="D30" s="296">
        <v>0</v>
      </c>
      <c r="E30" s="297">
        <f t="shared" si="0"/>
        <v>0</v>
      </c>
      <c r="F30" s="295">
        <v>11466</v>
      </c>
      <c r="G30" s="296">
        <v>7216</v>
      </c>
      <c r="H30" s="297">
        <f t="shared" si="4"/>
        <v>18682</v>
      </c>
      <c r="I30" s="295">
        <v>33225.864005054093</v>
      </c>
      <c r="J30" s="296">
        <v>25844.135994945907</v>
      </c>
      <c r="K30" s="297">
        <f t="shared" si="5"/>
        <v>59070</v>
      </c>
      <c r="L30" s="295">
        <v>0</v>
      </c>
      <c r="M30" s="296">
        <v>0</v>
      </c>
      <c r="N30" s="296">
        <v>0</v>
      </c>
      <c r="O30" s="297">
        <f t="shared" si="6"/>
        <v>0</v>
      </c>
      <c r="P30" s="298">
        <f t="shared" si="1"/>
        <v>44691.864005054093</v>
      </c>
      <c r="Q30" s="299">
        <f t="shared" si="2"/>
        <v>33060.135994945907</v>
      </c>
      <c r="R30" s="299" t="e">
        <f>+D30+#REF!+#REF!+N30</f>
        <v>#REF!</v>
      </c>
      <c r="S30" s="300" t="e">
        <f t="shared" si="3"/>
        <v>#REF!</v>
      </c>
    </row>
    <row r="31" spans="1:19" x14ac:dyDescent="0.4">
      <c r="A31" s="280">
        <v>2038</v>
      </c>
      <c r="B31" s="295">
        <v>0</v>
      </c>
      <c r="C31" s="296">
        <v>0</v>
      </c>
      <c r="D31" s="296">
        <v>0</v>
      </c>
      <c r="E31" s="297">
        <f t="shared" si="0"/>
        <v>0</v>
      </c>
      <c r="F31" s="295">
        <v>11781</v>
      </c>
      <c r="G31" s="296">
        <v>6901</v>
      </c>
      <c r="H31" s="297">
        <f t="shared" si="4"/>
        <v>18682</v>
      </c>
      <c r="I31" s="295">
        <v>34139.575265193082</v>
      </c>
      <c r="J31" s="296">
        <v>24930.424734806918</v>
      </c>
      <c r="K31" s="297">
        <f t="shared" si="5"/>
        <v>59070</v>
      </c>
      <c r="L31" s="295">
        <v>0</v>
      </c>
      <c r="M31" s="296">
        <v>0</v>
      </c>
      <c r="N31" s="296">
        <v>0</v>
      </c>
      <c r="O31" s="297">
        <f t="shared" si="6"/>
        <v>0</v>
      </c>
      <c r="P31" s="298">
        <f t="shared" si="1"/>
        <v>45920.575265193082</v>
      </c>
      <c r="Q31" s="299">
        <f t="shared" si="2"/>
        <v>31831.424734806918</v>
      </c>
      <c r="R31" s="299" t="e">
        <f>+D31+#REF!+#REF!+N31</f>
        <v>#REF!</v>
      </c>
      <c r="S31" s="300" t="e">
        <f t="shared" si="3"/>
        <v>#REF!</v>
      </c>
    </row>
    <row r="32" spans="1:19" x14ac:dyDescent="0.4">
      <c r="A32" s="280">
        <v>2039</v>
      </c>
      <c r="B32" s="295">
        <v>0</v>
      </c>
      <c r="C32" s="296">
        <v>0</v>
      </c>
      <c r="D32" s="296">
        <v>0</v>
      </c>
      <c r="E32" s="297">
        <f t="shared" si="0"/>
        <v>0</v>
      </c>
      <c r="F32" s="295">
        <v>12105</v>
      </c>
      <c r="G32" s="296">
        <v>6577</v>
      </c>
      <c r="H32" s="297">
        <f t="shared" si="4"/>
        <v>18682</v>
      </c>
      <c r="I32" s="295">
        <v>35078.413584985887</v>
      </c>
      <c r="J32" s="296">
        <v>23991.58641501411</v>
      </c>
      <c r="K32" s="297">
        <f t="shared" si="5"/>
        <v>59070</v>
      </c>
      <c r="L32" s="295">
        <v>0</v>
      </c>
      <c r="M32" s="296">
        <v>0</v>
      </c>
      <c r="N32" s="296">
        <v>0</v>
      </c>
      <c r="O32" s="297">
        <f t="shared" si="6"/>
        <v>0</v>
      </c>
      <c r="P32" s="298">
        <f t="shared" si="1"/>
        <v>47183.413584985887</v>
      </c>
      <c r="Q32" s="299">
        <f t="shared" si="2"/>
        <v>30568.58641501411</v>
      </c>
      <c r="R32" s="299" t="e">
        <f>+D32+#REF!+#REF!+N32</f>
        <v>#REF!</v>
      </c>
      <c r="S32" s="300" t="e">
        <f t="shared" si="3"/>
        <v>#REF!</v>
      </c>
    </row>
    <row r="33" spans="1:19" x14ac:dyDescent="0.4">
      <c r="A33" s="280">
        <v>2040</v>
      </c>
      <c r="B33" s="295">
        <v>0</v>
      </c>
      <c r="C33" s="296">
        <v>0</v>
      </c>
      <c r="D33" s="296">
        <v>0</v>
      </c>
      <c r="E33" s="297">
        <f t="shared" si="0"/>
        <v>0</v>
      </c>
      <c r="F33" s="295">
        <v>12438</v>
      </c>
      <c r="G33" s="296">
        <v>6244</v>
      </c>
      <c r="H33" s="297">
        <f t="shared" si="4"/>
        <v>18682</v>
      </c>
      <c r="I33" s="295">
        <v>36043.069958573004</v>
      </c>
      <c r="J33" s="296">
        <v>23026.930041426996</v>
      </c>
      <c r="K33" s="297">
        <f t="shared" si="5"/>
        <v>59070</v>
      </c>
      <c r="L33" s="295">
        <v>0</v>
      </c>
      <c r="M33" s="296">
        <v>0</v>
      </c>
      <c r="N33" s="296">
        <v>0</v>
      </c>
      <c r="O33" s="297">
        <f t="shared" si="6"/>
        <v>0</v>
      </c>
      <c r="P33" s="298">
        <f t="shared" si="1"/>
        <v>48481.069958573004</v>
      </c>
      <c r="Q33" s="299">
        <f t="shared" si="2"/>
        <v>29270.930041426996</v>
      </c>
      <c r="R33" s="299" t="e">
        <f>+D33+#REF!+#REF!+N33</f>
        <v>#REF!</v>
      </c>
      <c r="S33" s="300" t="e">
        <f t="shared" si="3"/>
        <v>#REF!</v>
      </c>
    </row>
    <row r="34" spans="1:19" x14ac:dyDescent="0.4">
      <c r="A34" s="280">
        <v>2041</v>
      </c>
      <c r="B34" s="295">
        <v>0</v>
      </c>
      <c r="C34" s="296">
        <v>0</v>
      </c>
      <c r="D34" s="296">
        <v>0</v>
      </c>
      <c r="E34" s="297">
        <f t="shared" si="0"/>
        <v>0</v>
      </c>
      <c r="F34" s="295">
        <v>12780</v>
      </c>
      <c r="G34" s="296">
        <v>5902</v>
      </c>
      <c r="H34" s="297">
        <f t="shared" si="4"/>
        <v>18682</v>
      </c>
      <c r="I34" s="295">
        <v>37034.254382433763</v>
      </c>
      <c r="J34" s="296">
        <v>22035.745617566241</v>
      </c>
      <c r="K34" s="297">
        <f t="shared" si="5"/>
        <v>59070</v>
      </c>
      <c r="L34" s="295">
        <v>0</v>
      </c>
      <c r="M34" s="296">
        <v>0</v>
      </c>
      <c r="N34" s="296">
        <v>0</v>
      </c>
      <c r="O34" s="297">
        <f t="shared" si="6"/>
        <v>0</v>
      </c>
      <c r="P34" s="298">
        <f t="shared" si="1"/>
        <v>49814.254382433763</v>
      </c>
      <c r="Q34" s="299">
        <f t="shared" si="2"/>
        <v>27937.745617566241</v>
      </c>
      <c r="R34" s="299" t="e">
        <f>+D34+#REF!+#REF!+N34</f>
        <v>#REF!</v>
      </c>
      <c r="S34" s="300" t="e">
        <f t="shared" si="3"/>
        <v>#REF!</v>
      </c>
    </row>
    <row r="35" spans="1:19" x14ac:dyDescent="0.4">
      <c r="A35" s="280">
        <v>2042</v>
      </c>
      <c r="B35" s="295">
        <v>0</v>
      </c>
      <c r="C35" s="296">
        <v>0</v>
      </c>
      <c r="D35" s="296">
        <v>0</v>
      </c>
      <c r="E35" s="297">
        <f t="shared" si="0"/>
        <v>0</v>
      </c>
      <c r="F35" s="295">
        <v>13131</v>
      </c>
      <c r="G35" s="296">
        <v>5551</v>
      </c>
      <c r="H35" s="297">
        <f t="shared" si="4"/>
        <v>18682</v>
      </c>
      <c r="I35" s="295">
        <v>38052.696377950691</v>
      </c>
      <c r="J35" s="296">
        <v>21017.303622049312</v>
      </c>
      <c r="K35" s="297">
        <f t="shared" si="5"/>
        <v>59070</v>
      </c>
      <c r="L35" s="295">
        <v>0</v>
      </c>
      <c r="M35" s="296">
        <v>0</v>
      </c>
      <c r="N35" s="296">
        <v>0</v>
      </c>
      <c r="O35" s="297">
        <f t="shared" si="6"/>
        <v>0</v>
      </c>
      <c r="P35" s="298">
        <f t="shared" si="1"/>
        <v>51183.696377950691</v>
      </c>
      <c r="Q35" s="299">
        <f t="shared" si="2"/>
        <v>26568.303622049312</v>
      </c>
      <c r="R35" s="299" t="e">
        <f>+D35+#REF!+#REF!+N35</f>
        <v>#REF!</v>
      </c>
      <c r="S35" s="300" t="e">
        <f t="shared" si="3"/>
        <v>#REF!</v>
      </c>
    </row>
    <row r="36" spans="1:19" x14ac:dyDescent="0.4">
      <c r="A36" s="280">
        <v>2043</v>
      </c>
      <c r="B36" s="295">
        <v>0</v>
      </c>
      <c r="C36" s="296">
        <v>0</v>
      </c>
      <c r="D36" s="296">
        <v>0</v>
      </c>
      <c r="E36" s="297">
        <f t="shared" si="0"/>
        <v>0</v>
      </c>
      <c r="F36" s="295">
        <v>13493</v>
      </c>
      <c r="G36" s="296">
        <v>5189</v>
      </c>
      <c r="H36" s="297">
        <f t="shared" si="4"/>
        <v>18682</v>
      </c>
      <c r="I36" s="295">
        <v>39099.145528344336</v>
      </c>
      <c r="J36" s="296">
        <v>19970.854471655668</v>
      </c>
      <c r="K36" s="297">
        <f t="shared" si="5"/>
        <v>59070</v>
      </c>
      <c r="L36" s="295">
        <v>0</v>
      </c>
      <c r="M36" s="296">
        <v>0</v>
      </c>
      <c r="N36" s="296">
        <v>0</v>
      </c>
      <c r="O36" s="297">
        <f t="shared" si="6"/>
        <v>0</v>
      </c>
      <c r="P36" s="298">
        <f t="shared" si="1"/>
        <v>52592.145528344336</v>
      </c>
      <c r="Q36" s="299">
        <f t="shared" si="2"/>
        <v>25159.854471655668</v>
      </c>
      <c r="R36" s="299" t="e">
        <f>+D36+#REF!+#REF!+N36</f>
        <v>#REF!</v>
      </c>
      <c r="S36" s="300" t="e">
        <f t="shared" si="3"/>
        <v>#REF!</v>
      </c>
    </row>
    <row r="37" spans="1:19" x14ac:dyDescent="0.4">
      <c r="A37" s="280">
        <v>2044</v>
      </c>
      <c r="B37" s="295">
        <v>0</v>
      </c>
      <c r="C37" s="296">
        <v>0</v>
      </c>
      <c r="D37" s="296">
        <v>0</v>
      </c>
      <c r="E37" s="297">
        <f t="shared" si="0"/>
        <v>0</v>
      </c>
      <c r="F37" s="295">
        <v>13864</v>
      </c>
      <c r="G37" s="296">
        <v>4818</v>
      </c>
      <c r="H37" s="297">
        <f t="shared" si="4"/>
        <v>18682</v>
      </c>
      <c r="I37" s="295">
        <v>40174.372030373801</v>
      </c>
      <c r="J37" s="296">
        <v>18895.627969626199</v>
      </c>
      <c r="K37" s="297">
        <f t="shared" si="5"/>
        <v>59070</v>
      </c>
      <c r="L37" s="295">
        <v>0</v>
      </c>
      <c r="M37" s="296">
        <v>0</v>
      </c>
      <c r="N37" s="296">
        <v>0</v>
      </c>
      <c r="O37" s="297">
        <f t="shared" si="6"/>
        <v>0</v>
      </c>
      <c r="P37" s="298">
        <f t="shared" si="1"/>
        <v>54038.372030373801</v>
      </c>
      <c r="Q37" s="299">
        <f t="shared" si="2"/>
        <v>23713.627969626199</v>
      </c>
      <c r="R37" s="299" t="e">
        <f>+D37+#REF!+#REF!+N37</f>
        <v>#REF!</v>
      </c>
      <c r="S37" s="300" t="e">
        <f t="shared" si="3"/>
        <v>#REF!</v>
      </c>
    </row>
    <row r="38" spans="1:19" x14ac:dyDescent="0.4">
      <c r="A38" s="280">
        <v>2045</v>
      </c>
      <c r="B38" s="295">
        <v>0</v>
      </c>
      <c r="C38" s="296">
        <v>0</v>
      </c>
      <c r="D38" s="296">
        <v>0</v>
      </c>
      <c r="E38" s="297">
        <f t="shared" si="0"/>
        <v>0</v>
      </c>
      <c r="F38" s="295">
        <v>14245</v>
      </c>
      <c r="G38" s="296">
        <v>4437</v>
      </c>
      <c r="H38" s="297">
        <f t="shared" si="4"/>
        <v>18682</v>
      </c>
      <c r="I38" s="295">
        <v>41279.167261209077</v>
      </c>
      <c r="J38" s="296">
        <v>17790.832738790919</v>
      </c>
      <c r="K38" s="297">
        <f t="shared" si="5"/>
        <v>59070</v>
      </c>
      <c r="L38" s="295">
        <v>0</v>
      </c>
      <c r="M38" s="296">
        <v>0</v>
      </c>
      <c r="N38" s="296">
        <v>0</v>
      </c>
      <c r="O38" s="297">
        <f t="shared" si="6"/>
        <v>0</v>
      </c>
      <c r="P38" s="298">
        <f t="shared" si="1"/>
        <v>55524.167261209077</v>
      </c>
      <c r="Q38" s="299">
        <f t="shared" si="2"/>
        <v>22227.832738790919</v>
      </c>
      <c r="R38" s="299" t="e">
        <f>+D38+#REF!+#REF!+N38</f>
        <v>#REF!</v>
      </c>
      <c r="S38" s="300" t="e">
        <f t="shared" si="3"/>
        <v>#REF!</v>
      </c>
    </row>
    <row r="39" spans="1:19" x14ac:dyDescent="0.4">
      <c r="A39" s="280">
        <v>2046</v>
      </c>
      <c r="B39" s="295">
        <v>0</v>
      </c>
      <c r="C39" s="296">
        <v>0</v>
      </c>
      <c r="D39" s="296">
        <v>0</v>
      </c>
      <c r="E39" s="297">
        <f t="shared" si="0"/>
        <v>0</v>
      </c>
      <c r="F39" s="295">
        <v>14637</v>
      </c>
      <c r="G39" s="296">
        <v>4045</v>
      </c>
      <c r="H39" s="297">
        <f t="shared" si="4"/>
        <v>18682</v>
      </c>
      <c r="I39" s="295">
        <v>42414.344360892326</v>
      </c>
      <c r="J39" s="296">
        <v>16655.65563910767</v>
      </c>
      <c r="K39" s="297">
        <f t="shared" si="5"/>
        <v>59070</v>
      </c>
      <c r="L39" s="295">
        <v>0</v>
      </c>
      <c r="M39" s="296">
        <v>0</v>
      </c>
      <c r="N39" s="296">
        <v>0</v>
      </c>
      <c r="O39" s="297">
        <f t="shared" si="6"/>
        <v>0</v>
      </c>
      <c r="P39" s="298">
        <f t="shared" si="1"/>
        <v>57051.344360892326</v>
      </c>
      <c r="Q39" s="299">
        <f t="shared" si="2"/>
        <v>20700.65563910767</v>
      </c>
      <c r="R39" s="299" t="e">
        <f>+D39+#REF!+#REF!+N39</f>
        <v>#REF!</v>
      </c>
      <c r="S39" s="300" t="e">
        <f t="shared" si="3"/>
        <v>#REF!</v>
      </c>
    </row>
    <row r="40" spans="1:19" x14ac:dyDescent="0.4">
      <c r="A40" s="280">
        <v>2047</v>
      </c>
      <c r="B40" s="295">
        <v>0</v>
      </c>
      <c r="C40" s="296">
        <v>0</v>
      </c>
      <c r="D40" s="296">
        <v>0</v>
      </c>
      <c r="E40" s="297">
        <f t="shared" si="0"/>
        <v>0</v>
      </c>
      <c r="F40" s="295">
        <v>15039</v>
      </c>
      <c r="G40" s="296">
        <v>3643</v>
      </c>
      <c r="H40" s="297">
        <f t="shared" si="4"/>
        <v>18682</v>
      </c>
      <c r="I40" s="295">
        <v>43580.738830816867</v>
      </c>
      <c r="J40" s="296">
        <v>15489.261169183132</v>
      </c>
      <c r="K40" s="297">
        <f t="shared" si="5"/>
        <v>59070</v>
      </c>
      <c r="L40" s="295">
        <v>0</v>
      </c>
      <c r="M40" s="296">
        <v>0</v>
      </c>
      <c r="N40" s="296">
        <v>0</v>
      </c>
      <c r="O40" s="297">
        <f t="shared" si="6"/>
        <v>0</v>
      </c>
      <c r="P40" s="298">
        <f t="shared" si="1"/>
        <v>58619.738830816867</v>
      </c>
      <c r="Q40" s="299">
        <f t="shared" si="2"/>
        <v>19132.261169183133</v>
      </c>
      <c r="R40" s="299" t="e">
        <f>+D40+#REF!+#REF!+N40</f>
        <v>#REF!</v>
      </c>
      <c r="S40" s="300" t="e">
        <f t="shared" si="3"/>
        <v>#REF!</v>
      </c>
    </row>
    <row r="41" spans="1:19" x14ac:dyDescent="0.4">
      <c r="A41" s="280">
        <v>2048</v>
      </c>
      <c r="B41" s="295">
        <v>0</v>
      </c>
      <c r="C41" s="296">
        <v>0</v>
      </c>
      <c r="D41" s="296">
        <v>0</v>
      </c>
      <c r="E41" s="297">
        <f t="shared" si="0"/>
        <v>0</v>
      </c>
      <c r="F41" s="295">
        <v>15453</v>
      </c>
      <c r="G41" s="296">
        <v>3229</v>
      </c>
      <c r="H41" s="297">
        <f t="shared" si="4"/>
        <v>18682</v>
      </c>
      <c r="I41" s="295">
        <v>44779.209148664333</v>
      </c>
      <c r="J41" s="296">
        <v>14290.790851335667</v>
      </c>
      <c r="K41" s="297">
        <f t="shared" si="5"/>
        <v>59070</v>
      </c>
      <c r="L41" s="295">
        <v>0</v>
      </c>
      <c r="M41" s="296">
        <v>0</v>
      </c>
      <c r="N41" s="296">
        <v>0</v>
      </c>
      <c r="O41" s="297">
        <f t="shared" si="6"/>
        <v>0</v>
      </c>
      <c r="P41" s="298">
        <f t="shared" si="1"/>
        <v>60232.209148664333</v>
      </c>
      <c r="Q41" s="299">
        <f t="shared" si="2"/>
        <v>17519.790851335667</v>
      </c>
      <c r="R41" s="299" t="e">
        <f>+D41+#REF!+#REF!+N41</f>
        <v>#REF!</v>
      </c>
      <c r="S41" s="300" t="e">
        <f t="shared" si="3"/>
        <v>#REF!</v>
      </c>
    </row>
    <row r="42" spans="1:19" x14ac:dyDescent="0.4">
      <c r="A42" s="280">
        <v>2049</v>
      </c>
      <c r="B42" s="295">
        <v>0</v>
      </c>
      <c r="C42" s="296">
        <v>0</v>
      </c>
      <c r="D42" s="296">
        <v>0</v>
      </c>
      <c r="E42" s="297">
        <f t="shared" si="0"/>
        <v>0</v>
      </c>
      <c r="F42" s="295">
        <v>15878</v>
      </c>
      <c r="G42" s="296">
        <v>2804</v>
      </c>
      <c r="H42" s="297">
        <f t="shared" si="4"/>
        <v>18682</v>
      </c>
      <c r="I42" s="295">
        <v>46010.637400252599</v>
      </c>
      <c r="J42" s="296">
        <v>13059.362599747397</v>
      </c>
      <c r="K42" s="297">
        <f t="shared" si="5"/>
        <v>59070</v>
      </c>
      <c r="L42" s="295">
        <v>0</v>
      </c>
      <c r="M42" s="296">
        <v>0</v>
      </c>
      <c r="N42" s="296">
        <v>0</v>
      </c>
      <c r="O42" s="297">
        <f t="shared" si="6"/>
        <v>0</v>
      </c>
      <c r="P42" s="298">
        <f t="shared" si="1"/>
        <v>61888.637400252599</v>
      </c>
      <c r="Q42" s="299">
        <f t="shared" si="2"/>
        <v>15863.362599747397</v>
      </c>
      <c r="R42" s="299" t="e">
        <f>+D42+#REF!+#REF!+N42</f>
        <v>#REF!</v>
      </c>
      <c r="S42" s="300" t="e">
        <f t="shared" si="3"/>
        <v>#REF!</v>
      </c>
    </row>
    <row r="43" spans="1:19" x14ac:dyDescent="0.4">
      <c r="A43" s="280">
        <v>2050</v>
      </c>
      <c r="B43" s="295">
        <v>0</v>
      </c>
      <c r="C43" s="296">
        <v>0</v>
      </c>
      <c r="D43" s="296">
        <v>0</v>
      </c>
      <c r="E43" s="297">
        <f t="shared" si="0"/>
        <v>0</v>
      </c>
      <c r="F43" s="295">
        <v>16314</v>
      </c>
      <c r="G43" s="296">
        <v>2368</v>
      </c>
      <c r="H43" s="297">
        <f t="shared" si="4"/>
        <v>18682</v>
      </c>
      <c r="I43" s="295">
        <v>47275.92992875955</v>
      </c>
      <c r="J43" s="296">
        <v>11794.07007124045</v>
      </c>
      <c r="K43" s="297">
        <f t="shared" si="5"/>
        <v>59070</v>
      </c>
      <c r="L43" s="295">
        <v>0</v>
      </c>
      <c r="M43" s="296">
        <v>0</v>
      </c>
      <c r="N43" s="296">
        <v>0</v>
      </c>
      <c r="O43" s="297">
        <f t="shared" si="6"/>
        <v>0</v>
      </c>
      <c r="P43" s="298">
        <f t="shared" si="1"/>
        <v>63589.92992875955</v>
      </c>
      <c r="Q43" s="299">
        <f t="shared" si="2"/>
        <v>14162.07007124045</v>
      </c>
      <c r="R43" s="299" t="e">
        <f>+D43+#REF!+#REF!+N43</f>
        <v>#REF!</v>
      </c>
      <c r="S43" s="300" t="e">
        <f t="shared" si="3"/>
        <v>#REF!</v>
      </c>
    </row>
    <row r="44" spans="1:19" x14ac:dyDescent="0.4">
      <c r="A44" s="280">
        <v>2051</v>
      </c>
      <c r="B44" s="295">
        <v>0</v>
      </c>
      <c r="C44" s="296">
        <v>0</v>
      </c>
      <c r="D44" s="296">
        <v>0</v>
      </c>
      <c r="E44" s="297">
        <f t="shared" si="0"/>
        <v>0</v>
      </c>
      <c r="F44" s="295">
        <v>16763</v>
      </c>
      <c r="G44" s="296">
        <v>1919</v>
      </c>
      <c r="H44" s="297">
        <f t="shared" si="4"/>
        <v>18682</v>
      </c>
      <c r="I44" s="295">
        <v>48576.018001800439</v>
      </c>
      <c r="J44" s="296">
        <v>10493.981998199562</v>
      </c>
      <c r="K44" s="297">
        <f t="shared" si="5"/>
        <v>59070</v>
      </c>
      <c r="L44" s="295">
        <v>0</v>
      </c>
      <c r="M44" s="296">
        <v>0</v>
      </c>
      <c r="N44" s="296">
        <v>0</v>
      </c>
      <c r="O44" s="297">
        <f t="shared" si="6"/>
        <v>0</v>
      </c>
      <c r="P44" s="298">
        <f t="shared" si="1"/>
        <v>65339.018001800439</v>
      </c>
      <c r="Q44" s="299">
        <f t="shared" si="2"/>
        <v>12412.981998199562</v>
      </c>
      <c r="R44" s="299" t="e">
        <f>+D44+#REF!+#REF!+N44</f>
        <v>#REF!</v>
      </c>
      <c r="S44" s="300" t="e">
        <f t="shared" si="3"/>
        <v>#REF!</v>
      </c>
    </row>
    <row r="45" spans="1:19" x14ac:dyDescent="0.4">
      <c r="A45" s="280">
        <v>2052</v>
      </c>
      <c r="B45" s="295">
        <v>0</v>
      </c>
      <c r="C45" s="296">
        <v>0</v>
      </c>
      <c r="D45" s="296">
        <v>0</v>
      </c>
      <c r="E45" s="297">
        <f t="shared" si="0"/>
        <v>0</v>
      </c>
      <c r="F45" s="295">
        <v>17224</v>
      </c>
      <c r="G45" s="296">
        <v>1458</v>
      </c>
      <c r="H45" s="297">
        <f t="shared" si="4"/>
        <v>18682</v>
      </c>
      <c r="I45" s="295">
        <v>49911.858496849949</v>
      </c>
      <c r="J45" s="296">
        <v>9158.1415031500492</v>
      </c>
      <c r="K45" s="297">
        <f t="shared" si="5"/>
        <v>59070</v>
      </c>
      <c r="L45" s="295">
        <v>0</v>
      </c>
      <c r="M45" s="296">
        <v>0</v>
      </c>
      <c r="N45" s="296">
        <v>0</v>
      </c>
      <c r="O45" s="297">
        <f t="shared" si="6"/>
        <v>0</v>
      </c>
      <c r="P45" s="298">
        <f t="shared" si="1"/>
        <v>67135.858496849949</v>
      </c>
      <c r="Q45" s="299">
        <f t="shared" si="2"/>
        <v>10616.141503150049</v>
      </c>
      <c r="R45" s="299" t="e">
        <f>+D45+#REF!+#REF!+N45</f>
        <v>#REF!</v>
      </c>
      <c r="S45" s="300" t="e">
        <f t="shared" si="3"/>
        <v>#REF!</v>
      </c>
    </row>
    <row r="46" spans="1:19" x14ac:dyDescent="0.4">
      <c r="A46" s="280">
        <v>2053</v>
      </c>
      <c r="B46" s="295">
        <v>0</v>
      </c>
      <c r="C46" s="296">
        <v>0</v>
      </c>
      <c r="D46" s="296">
        <v>0</v>
      </c>
      <c r="E46" s="297">
        <f t="shared" si="0"/>
        <v>0</v>
      </c>
      <c r="F46" s="295">
        <v>17698</v>
      </c>
      <c r="G46" s="296">
        <v>984</v>
      </c>
      <c r="H46" s="297">
        <f t="shared" si="4"/>
        <v>18682</v>
      </c>
      <c r="I46" s="295">
        <v>51284.434605513321</v>
      </c>
      <c r="J46" s="296">
        <v>7785.5653944866763</v>
      </c>
      <c r="K46" s="297">
        <f t="shared" si="5"/>
        <v>59070</v>
      </c>
      <c r="L46" s="295">
        <v>0</v>
      </c>
      <c r="M46" s="296">
        <v>0</v>
      </c>
      <c r="N46" s="296">
        <v>0</v>
      </c>
      <c r="O46" s="297">
        <f t="shared" si="6"/>
        <v>0</v>
      </c>
      <c r="P46" s="298">
        <f t="shared" si="1"/>
        <v>68982.434605513321</v>
      </c>
      <c r="Q46" s="299">
        <f t="shared" si="2"/>
        <v>8769.5653944866754</v>
      </c>
      <c r="R46" s="299" t="e">
        <f>+D46+#REF!+#REF!+N46</f>
        <v>#REF!</v>
      </c>
      <c r="S46" s="300" t="e">
        <f t="shared" si="3"/>
        <v>#REF!</v>
      </c>
    </row>
    <row r="47" spans="1:19" x14ac:dyDescent="0.4">
      <c r="A47" s="280">
        <v>2054</v>
      </c>
      <c r="B47" s="295">
        <v>0</v>
      </c>
      <c r="C47" s="296">
        <v>0</v>
      </c>
      <c r="D47" s="296">
        <v>0</v>
      </c>
      <c r="E47" s="297">
        <f t="shared" si="0"/>
        <v>0</v>
      </c>
      <c r="F47" s="295">
        <v>18184</v>
      </c>
      <c r="G47" s="296">
        <v>498</v>
      </c>
      <c r="H47" s="297">
        <f t="shared" si="4"/>
        <v>18682</v>
      </c>
      <c r="I47" s="295">
        <v>52694.756557164939</v>
      </c>
      <c r="J47" s="296">
        <v>6375.2434428350598</v>
      </c>
      <c r="K47" s="297">
        <f t="shared" si="5"/>
        <v>59070</v>
      </c>
      <c r="L47" s="295">
        <v>0</v>
      </c>
      <c r="M47" s="296">
        <v>0</v>
      </c>
      <c r="N47" s="296">
        <v>0</v>
      </c>
      <c r="O47" s="297">
        <f t="shared" si="6"/>
        <v>0</v>
      </c>
      <c r="P47" s="298">
        <f t="shared" si="1"/>
        <v>70878.756557164947</v>
      </c>
      <c r="Q47" s="299">
        <f t="shared" si="2"/>
        <v>6873.2434428350598</v>
      </c>
      <c r="R47" s="299" t="e">
        <f>+D47+#REF!+#REF!+N47</f>
        <v>#REF!</v>
      </c>
      <c r="S47" s="300" t="e">
        <f t="shared" si="3"/>
        <v>#REF!</v>
      </c>
    </row>
    <row r="48" spans="1:19" x14ac:dyDescent="0.4">
      <c r="A48" s="280">
        <f>+A47+1</f>
        <v>2055</v>
      </c>
      <c r="B48" s="295">
        <v>0</v>
      </c>
      <c r="C48" s="296">
        <v>0</v>
      </c>
      <c r="D48" s="296">
        <v>0</v>
      </c>
      <c r="E48" s="297">
        <f t="shared" si="0"/>
        <v>0</v>
      </c>
      <c r="F48" s="295">
        <v>0</v>
      </c>
      <c r="G48" s="296">
        <v>0</v>
      </c>
      <c r="H48" s="297">
        <f t="shared" si="4"/>
        <v>0</v>
      </c>
      <c r="I48" s="295">
        <v>54143.86236248698</v>
      </c>
      <c r="J48" s="296">
        <v>4926.1376375130239</v>
      </c>
      <c r="K48" s="297">
        <f t="shared" si="5"/>
        <v>59070</v>
      </c>
      <c r="L48" s="295">
        <v>0</v>
      </c>
      <c r="M48" s="296">
        <v>0</v>
      </c>
      <c r="N48" s="296">
        <v>0</v>
      </c>
      <c r="O48" s="297">
        <f t="shared" si="6"/>
        <v>0</v>
      </c>
      <c r="P48" s="298">
        <f t="shared" si="1"/>
        <v>54143.86236248698</v>
      </c>
      <c r="Q48" s="299">
        <f t="shared" si="2"/>
        <v>4926.1376375130239</v>
      </c>
      <c r="R48" s="299" t="e">
        <f>+D48+#REF!+#REF!+N48</f>
        <v>#REF!</v>
      </c>
      <c r="S48" s="300" t="e">
        <f t="shared" si="3"/>
        <v>#REF!</v>
      </c>
    </row>
    <row r="49" spans="1:19" x14ac:dyDescent="0.4">
      <c r="A49" s="280">
        <f>+A48+1</f>
        <v>2056</v>
      </c>
      <c r="B49" s="295">
        <v>0</v>
      </c>
      <c r="C49" s="296">
        <v>0</v>
      </c>
      <c r="D49" s="296">
        <v>0</v>
      </c>
      <c r="E49" s="297">
        <f t="shared" si="0"/>
        <v>0</v>
      </c>
      <c r="F49" s="295">
        <v>0</v>
      </c>
      <c r="G49" s="296">
        <v>0</v>
      </c>
      <c r="H49" s="297">
        <f t="shared" si="4"/>
        <v>0</v>
      </c>
      <c r="I49" s="295">
        <v>55632.818577455371</v>
      </c>
      <c r="J49" s="296">
        <v>3437.1814225446319</v>
      </c>
      <c r="K49" s="297">
        <f t="shared" si="5"/>
        <v>59070</v>
      </c>
      <c r="L49" s="295">
        <v>0</v>
      </c>
      <c r="M49" s="296">
        <v>0</v>
      </c>
      <c r="N49" s="296">
        <v>0</v>
      </c>
      <c r="O49" s="297">
        <f t="shared" si="6"/>
        <v>0</v>
      </c>
      <c r="P49" s="298">
        <f t="shared" si="1"/>
        <v>55632.818577455371</v>
      </c>
      <c r="Q49" s="299">
        <f t="shared" si="2"/>
        <v>3437.1814225446319</v>
      </c>
      <c r="R49" s="299" t="e">
        <f>+D49+#REF!+#REF!+N49</f>
        <v>#REF!</v>
      </c>
      <c r="S49" s="300" t="e">
        <f t="shared" si="3"/>
        <v>#REF!</v>
      </c>
    </row>
    <row r="50" spans="1:19" x14ac:dyDescent="0.4">
      <c r="A50" s="280">
        <f>+A49+1</f>
        <v>2057</v>
      </c>
      <c r="B50" s="295">
        <v>0</v>
      </c>
      <c r="C50" s="296">
        <v>0</v>
      </c>
      <c r="D50" s="296">
        <v>0</v>
      </c>
      <c r="E50" s="297">
        <f t="shared" si="0"/>
        <v>0</v>
      </c>
      <c r="F50" s="295">
        <v>0</v>
      </c>
      <c r="G50" s="296">
        <v>0</v>
      </c>
      <c r="H50" s="297">
        <f t="shared" si="4"/>
        <v>0</v>
      </c>
      <c r="I50" s="295">
        <v>57162.721088335391</v>
      </c>
      <c r="J50" s="296">
        <v>1907.278911664609</v>
      </c>
      <c r="K50" s="297">
        <f t="shared" si="5"/>
        <v>59070</v>
      </c>
      <c r="L50" s="295">
        <v>0</v>
      </c>
      <c r="M50" s="296">
        <v>0</v>
      </c>
      <c r="N50" s="296">
        <v>0</v>
      </c>
      <c r="O50" s="297">
        <f t="shared" si="6"/>
        <v>0</v>
      </c>
      <c r="P50" s="298">
        <f t="shared" si="1"/>
        <v>57162.721088335391</v>
      </c>
      <c r="Q50" s="299">
        <f t="shared" si="2"/>
        <v>1907.278911664609</v>
      </c>
      <c r="R50" s="299" t="e">
        <f>+D50+#REF!+#REF!+N50</f>
        <v>#REF!</v>
      </c>
      <c r="S50" s="300" t="e">
        <f t="shared" si="3"/>
        <v>#REF!</v>
      </c>
    </row>
    <row r="51" spans="1:19" x14ac:dyDescent="0.4">
      <c r="A51" s="280">
        <f>+A50+1</f>
        <v>2058</v>
      </c>
      <c r="B51" s="295">
        <v>0</v>
      </c>
      <c r="C51" s="296">
        <v>0</v>
      </c>
      <c r="D51" s="296">
        <v>0</v>
      </c>
      <c r="E51" s="297">
        <f t="shared" si="0"/>
        <v>0</v>
      </c>
      <c r="F51" s="295">
        <v>0</v>
      </c>
      <c r="G51" s="296">
        <v>0</v>
      </c>
      <c r="H51" s="297">
        <f t="shared" si="4"/>
        <v>0</v>
      </c>
      <c r="I51" s="295">
        <v>12192.875699468575</v>
      </c>
      <c r="J51" s="296">
        <v>335.30408173538581</v>
      </c>
      <c r="K51" s="297">
        <f t="shared" si="5"/>
        <v>12528.179781203962</v>
      </c>
      <c r="L51" s="295">
        <v>0</v>
      </c>
      <c r="M51" s="296">
        <v>0</v>
      </c>
      <c r="N51" s="296">
        <v>0</v>
      </c>
      <c r="O51" s="297">
        <f t="shared" si="6"/>
        <v>0</v>
      </c>
      <c r="P51" s="298">
        <f t="shared" si="1"/>
        <v>12192.875699468575</v>
      </c>
      <c r="Q51" s="299">
        <f t="shared" si="2"/>
        <v>335.30408173538581</v>
      </c>
      <c r="R51" s="299" t="e">
        <f>+D51+#REF!+#REF!+N51</f>
        <v>#REF!</v>
      </c>
      <c r="S51" s="300" t="e">
        <f t="shared" si="3"/>
        <v>#REF!</v>
      </c>
    </row>
    <row r="52" spans="1:19" x14ac:dyDescent="0.4">
      <c r="A52" s="280"/>
      <c r="B52" s="92"/>
      <c r="E52" s="297">
        <f t="shared" si="0"/>
        <v>0</v>
      </c>
      <c r="F52" s="92"/>
      <c r="H52" s="297">
        <f t="shared" si="4"/>
        <v>0</v>
      </c>
      <c r="I52" s="92"/>
      <c r="K52" s="297">
        <f t="shared" si="5"/>
        <v>0</v>
      </c>
      <c r="L52" s="92"/>
      <c r="O52" s="297">
        <f t="shared" si="6"/>
        <v>0</v>
      </c>
      <c r="P52" s="301"/>
      <c r="Q52" s="302"/>
      <c r="R52" s="302"/>
      <c r="S52" s="300">
        <f t="shared" si="3"/>
        <v>0</v>
      </c>
    </row>
    <row r="53" spans="1:19" x14ac:dyDescent="0.4">
      <c r="A53" s="287" t="s">
        <v>0</v>
      </c>
      <c r="B53" s="303">
        <f t="shared" ref="B53:S53" si="7">SUM(B16:B52)</f>
        <v>1755000</v>
      </c>
      <c r="C53" s="304">
        <f t="shared" si="7"/>
        <v>385900</v>
      </c>
      <c r="D53" s="304">
        <f t="shared" si="7"/>
        <v>5400</v>
      </c>
      <c r="E53" s="305">
        <f t="shared" si="7"/>
        <v>2146300</v>
      </c>
      <c r="F53" s="303">
        <f t="shared" si="7"/>
        <v>394247</v>
      </c>
      <c r="G53" s="304">
        <f t="shared" si="7"/>
        <v>203577</v>
      </c>
      <c r="H53" s="305">
        <f t="shared" si="7"/>
        <v>597824</v>
      </c>
      <c r="I53" s="303">
        <f t="shared" si="7"/>
        <v>1321585.4370536718</v>
      </c>
      <c r="J53" s="304">
        <f t="shared" si="7"/>
        <v>758392.74272753217</v>
      </c>
      <c r="K53" s="305">
        <f t="shared" si="7"/>
        <v>2079978.1797812039</v>
      </c>
      <c r="L53" s="303">
        <f t="shared" si="7"/>
        <v>810000</v>
      </c>
      <c r="M53" s="304">
        <f t="shared" si="7"/>
        <v>161000</v>
      </c>
      <c r="N53" s="304">
        <f t="shared" si="7"/>
        <v>4900</v>
      </c>
      <c r="O53" s="305">
        <f t="shared" si="7"/>
        <v>975900</v>
      </c>
      <c r="P53" s="306">
        <f t="shared" si="7"/>
        <v>4280832.437053673</v>
      </c>
      <c r="Q53" s="307">
        <f t="shared" si="7"/>
        <v>1508869.7427275318</v>
      </c>
      <c r="R53" s="307" t="e">
        <f t="shared" si="7"/>
        <v>#REF!</v>
      </c>
      <c r="S53" s="307" t="e">
        <f t="shared" si="7"/>
        <v>#REF!</v>
      </c>
    </row>
    <row r="54" spans="1:19" x14ac:dyDescent="0.4">
      <c r="P54" s="308">
        <f>+P53-B53-F53-I53-L53</f>
        <v>1.1641532182693481E-9</v>
      </c>
      <c r="Q54" s="308">
        <f>+Q53-C53-G53-J53-M53</f>
        <v>-3.4924596548080444E-10</v>
      </c>
      <c r="R54" s="308" t="e">
        <f>+R53-D53-#REF!-#REF!-N53</f>
        <v>#REF!</v>
      </c>
      <c r="S54" s="308" t="e">
        <f>+S53-E53-H53-K53-O53</f>
        <v>#REF!</v>
      </c>
    </row>
  </sheetData>
  <mergeCells count="37">
    <mergeCell ref="B11:E11"/>
    <mergeCell ref="F11:H11"/>
    <mergeCell ref="I11:K11"/>
    <mergeCell ref="L11:O11"/>
    <mergeCell ref="P13:S13"/>
    <mergeCell ref="B12:E12"/>
    <mergeCell ref="F12:H12"/>
    <mergeCell ref="I12:K12"/>
    <mergeCell ref="L12:O12"/>
    <mergeCell ref="B13:E13"/>
    <mergeCell ref="F13:H13"/>
    <mergeCell ref="I13:K13"/>
    <mergeCell ref="L13:O13"/>
    <mergeCell ref="B10:E10"/>
    <mergeCell ref="F10:H10"/>
    <mergeCell ref="I10:K10"/>
    <mergeCell ref="L10:O10"/>
    <mergeCell ref="P10:S10"/>
    <mergeCell ref="P8:S8"/>
    <mergeCell ref="B9:E9"/>
    <mergeCell ref="F9:H9"/>
    <mergeCell ref="I9:K9"/>
    <mergeCell ref="L9:O9"/>
    <mergeCell ref="B8:E8"/>
    <mergeCell ref="F8:H8"/>
    <mergeCell ref="I8:K8"/>
    <mergeCell ref="L8:O8"/>
    <mergeCell ref="B6:E6"/>
    <mergeCell ref="F6:H6"/>
    <mergeCell ref="I6:K6"/>
    <mergeCell ref="L6:O6"/>
    <mergeCell ref="P6:S6"/>
    <mergeCell ref="B7:E7"/>
    <mergeCell ref="F7:H7"/>
    <mergeCell ref="I7:K7"/>
    <mergeCell ref="L7:O7"/>
    <mergeCell ref="P7:S7"/>
  </mergeCells>
  <pageMargins left="0.7" right="0.7" top="0.75" bottom="0.75" header="0.3" footer="0.3"/>
  <ignoredErrors>
    <ignoredError sqref="B53:D53 F53:N5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D3E5-38E0-4E85-AD7E-388A84834135}">
  <dimension ref="A1:O135"/>
  <sheetViews>
    <sheetView showGridLines="0" topLeftCell="A64" workbookViewId="0">
      <selection activeCell="A77" sqref="A77:L135"/>
    </sheetView>
  </sheetViews>
  <sheetFormatPr defaultColWidth="14.77734375" defaultRowHeight="15" x14ac:dyDescent="0.4"/>
  <cols>
    <col min="1" max="1" width="1.77734375" customWidth="1"/>
    <col min="2" max="3" width="10.77734375" customWidth="1"/>
    <col min="4" max="11" width="14.77734375" style="138"/>
    <col min="12" max="12" width="1.77734375" customWidth="1"/>
  </cols>
  <sheetData>
    <row r="1" spans="1:15" x14ac:dyDescent="0.4">
      <c r="A1" s="246"/>
      <c r="B1" s="254"/>
      <c r="C1" s="254"/>
      <c r="D1" s="269"/>
      <c r="E1" s="269"/>
      <c r="F1" s="269"/>
      <c r="G1" s="269"/>
      <c r="H1" s="269"/>
      <c r="I1" s="269"/>
      <c r="J1" s="269"/>
      <c r="K1" s="269"/>
      <c r="L1" s="247"/>
    </row>
    <row r="2" spans="1:15" x14ac:dyDescent="0.4">
      <c r="A2" s="92"/>
      <c r="B2" s="656" t="s">
        <v>731</v>
      </c>
      <c r="C2" s="656"/>
      <c r="D2" s="656"/>
      <c r="E2" s="656"/>
      <c r="F2" s="656"/>
      <c r="G2" s="656"/>
      <c r="H2" s="656"/>
      <c r="I2" s="656"/>
      <c r="J2" s="656"/>
      <c r="K2" s="656"/>
      <c r="L2" s="238"/>
    </row>
    <row r="3" spans="1:15" x14ac:dyDescent="0.4">
      <c r="A3" s="92"/>
      <c r="L3" s="238"/>
    </row>
    <row r="4" spans="1:15" x14ac:dyDescent="0.4">
      <c r="A4" s="92"/>
      <c r="D4" s="657" t="s">
        <v>732</v>
      </c>
      <c r="E4" s="657"/>
      <c r="F4" s="657"/>
      <c r="G4" s="657"/>
      <c r="H4" s="657"/>
      <c r="I4" s="657"/>
      <c r="L4" s="238"/>
    </row>
    <row r="5" spans="1:15" x14ac:dyDescent="0.4">
      <c r="A5" s="92"/>
      <c r="D5"/>
      <c r="E5"/>
      <c r="H5" s="258" t="s">
        <v>188</v>
      </c>
      <c r="I5" s="258" t="s">
        <v>473</v>
      </c>
      <c r="L5" s="238"/>
      <c r="M5" s="655" t="s">
        <v>474</v>
      </c>
      <c r="N5" s="655"/>
    </row>
    <row r="6" spans="1:15" x14ac:dyDescent="0.4">
      <c r="A6" s="92"/>
      <c r="D6" t="s">
        <v>333</v>
      </c>
      <c r="E6"/>
      <c r="H6" s="197">
        <f>F45</f>
        <v>237807129</v>
      </c>
      <c r="I6" s="138">
        <f>I45</f>
        <v>2005026.7300000002</v>
      </c>
      <c r="L6" s="238"/>
      <c r="M6" s="258" t="s">
        <v>188</v>
      </c>
      <c r="N6" s="268" t="s">
        <v>475</v>
      </c>
      <c r="O6" s="268" t="s">
        <v>476</v>
      </c>
    </row>
    <row r="7" spans="1:15" x14ac:dyDescent="0.4">
      <c r="A7" s="92"/>
      <c r="D7" t="s">
        <v>334</v>
      </c>
      <c r="E7"/>
      <c r="H7" s="197">
        <f>F61</f>
        <v>15646733</v>
      </c>
      <c r="I7" s="138">
        <f>I61</f>
        <v>89912.9</v>
      </c>
      <c r="L7" s="238"/>
      <c r="M7" s="138">
        <v>-628052</v>
      </c>
      <c r="N7" s="138">
        <v>-3199.7504400000007</v>
      </c>
      <c r="O7" s="138">
        <v>-3820.5899999999992</v>
      </c>
    </row>
    <row r="8" spans="1:15" x14ac:dyDescent="0.4">
      <c r="A8" s="92"/>
      <c r="D8" t="s">
        <v>335</v>
      </c>
      <c r="E8"/>
      <c r="H8" s="197">
        <f>F75</f>
        <v>10662391</v>
      </c>
      <c r="I8" s="138">
        <f>I75</f>
        <v>44631.76</v>
      </c>
      <c r="L8" s="238"/>
      <c r="M8" s="138">
        <v>0</v>
      </c>
      <c r="N8" s="138">
        <v>0</v>
      </c>
      <c r="O8" s="138">
        <v>-91.550000000000011</v>
      </c>
    </row>
    <row r="9" spans="1:15" x14ac:dyDescent="0.4">
      <c r="A9" s="92"/>
      <c r="D9" t="s">
        <v>336</v>
      </c>
      <c r="E9"/>
      <c r="H9" s="197">
        <f>F91</f>
        <v>3196089</v>
      </c>
      <c r="I9" s="138">
        <f>I91</f>
        <v>18404.72</v>
      </c>
      <c r="L9" s="238"/>
      <c r="M9" s="138">
        <v>-195241</v>
      </c>
      <c r="N9" s="138">
        <v>-862.31615999999997</v>
      </c>
      <c r="O9" s="138">
        <v>0</v>
      </c>
    </row>
    <row r="10" spans="1:15" x14ac:dyDescent="0.4">
      <c r="A10" s="92"/>
      <c r="D10" t="s">
        <v>338</v>
      </c>
      <c r="E10"/>
      <c r="H10" s="197">
        <f>F106</f>
        <v>964159</v>
      </c>
      <c r="I10" s="138">
        <f>I106</f>
        <v>5646.5499999999993</v>
      </c>
      <c r="L10" s="238"/>
      <c r="M10" s="138">
        <v>0</v>
      </c>
      <c r="N10" s="138">
        <v>0</v>
      </c>
      <c r="O10" s="138">
        <v>0</v>
      </c>
    </row>
    <row r="11" spans="1:15" x14ac:dyDescent="0.4">
      <c r="A11" s="92"/>
      <c r="D11" t="s">
        <v>339</v>
      </c>
      <c r="E11"/>
      <c r="H11" s="277">
        <f>F119</f>
        <v>1916013</v>
      </c>
      <c r="I11" s="213">
        <f>I119</f>
        <v>21160.95</v>
      </c>
      <c r="L11" s="238"/>
      <c r="M11" s="138">
        <v>0</v>
      </c>
      <c r="N11" s="138">
        <v>0</v>
      </c>
      <c r="O11" s="138">
        <v>0</v>
      </c>
    </row>
    <row r="12" spans="1:15" x14ac:dyDescent="0.4">
      <c r="A12" s="92"/>
      <c r="D12" t="s">
        <v>32</v>
      </c>
      <c r="E12"/>
      <c r="H12" s="197">
        <f>SUM(H6:H11)</f>
        <v>270192514</v>
      </c>
      <c r="I12" s="138">
        <f>SUM(I6:I11)</f>
        <v>2184783.6100000003</v>
      </c>
      <c r="L12" s="238"/>
      <c r="M12" s="213">
        <v>0</v>
      </c>
      <c r="N12" s="213">
        <v>0</v>
      </c>
      <c r="O12" s="213">
        <v>0</v>
      </c>
    </row>
    <row r="13" spans="1:15" ht="15.4" thickBot="1" x14ac:dyDescent="0.45">
      <c r="A13" s="92"/>
      <c r="D13" s="116" t="s">
        <v>478</v>
      </c>
      <c r="E13"/>
      <c r="H13" s="277">
        <f>M13</f>
        <v>-823293</v>
      </c>
      <c r="I13" s="213">
        <f>SUM(N13:O13)</f>
        <v>-7974.2065999999995</v>
      </c>
      <c r="L13" s="238"/>
      <c r="M13" s="214">
        <f>SUM(M7:M12)</f>
        <v>-823293</v>
      </c>
      <c r="N13" s="214">
        <f t="shared" ref="N13:O13" si="0">SUM(N7:N12)</f>
        <v>-4062.0666000000006</v>
      </c>
      <c r="O13" s="214">
        <f t="shared" si="0"/>
        <v>-3912.1399999999994</v>
      </c>
    </row>
    <row r="14" spans="1:15" ht="15.75" thickTop="1" thickBot="1" x14ac:dyDescent="0.45">
      <c r="A14" s="92"/>
      <c r="D14" t="s">
        <v>343</v>
      </c>
      <c r="E14"/>
      <c r="H14" s="270">
        <f>SUM(H12:H13)</f>
        <v>269369221</v>
      </c>
      <c r="I14" s="138">
        <f>SUM(I12:I13)</f>
        <v>2176809.4034000002</v>
      </c>
      <c r="L14" s="238"/>
      <c r="M14" s="138"/>
    </row>
    <row r="15" spans="1:15" ht="15.4" thickTop="1" x14ac:dyDescent="0.4">
      <c r="A15" s="92"/>
      <c r="D15" t="s">
        <v>344</v>
      </c>
      <c r="E15"/>
      <c r="I15" s="213">
        <f>-'SAO - DSC'!F9</f>
        <v>-2200475</v>
      </c>
      <c r="L15" s="238"/>
    </row>
    <row r="16" spans="1:15" ht="15.4" thickBot="1" x14ac:dyDescent="0.45">
      <c r="A16" s="92"/>
      <c r="D16" s="116" t="s">
        <v>477</v>
      </c>
      <c r="E16"/>
      <c r="I16" s="214">
        <f>SUM(I14:I15)</f>
        <v>-23665.596599999815</v>
      </c>
      <c r="L16" s="238"/>
    </row>
    <row r="17" spans="1:12" ht="15.4" thickTop="1" x14ac:dyDescent="0.4">
      <c r="A17" s="92"/>
      <c r="D17"/>
      <c r="E17"/>
      <c r="L17" s="238"/>
    </row>
    <row r="18" spans="1:12" x14ac:dyDescent="0.4">
      <c r="A18" s="92"/>
      <c r="D18" t="s">
        <v>265</v>
      </c>
      <c r="E18"/>
      <c r="L18" s="238"/>
    </row>
    <row r="19" spans="1:12" x14ac:dyDescent="0.4">
      <c r="A19" s="92"/>
      <c r="D19" t="s">
        <v>357</v>
      </c>
      <c r="E19"/>
      <c r="I19" s="138">
        <f>I124</f>
        <v>816.6</v>
      </c>
      <c r="L19" s="238"/>
    </row>
    <row r="20" spans="1:12" x14ac:dyDescent="0.4">
      <c r="A20" s="92"/>
      <c r="D20" t="s">
        <v>345</v>
      </c>
      <c r="E20"/>
      <c r="I20" s="138">
        <f>I129</f>
        <v>1775.04</v>
      </c>
      <c r="L20" s="238"/>
    </row>
    <row r="21" spans="1:12" x14ac:dyDescent="0.4">
      <c r="A21" s="92"/>
      <c r="D21" t="s">
        <v>346</v>
      </c>
      <c r="E21"/>
      <c r="I21" s="213">
        <f>I134</f>
        <v>4089.24</v>
      </c>
      <c r="L21" s="238"/>
    </row>
    <row r="22" spans="1:12" x14ac:dyDescent="0.4">
      <c r="A22" s="92"/>
      <c r="D22" t="s">
        <v>32</v>
      </c>
      <c r="E22"/>
      <c r="I22" s="138">
        <f>SUM(I19:I21)</f>
        <v>6680.8799999999992</v>
      </c>
      <c r="L22" s="238"/>
    </row>
    <row r="23" spans="1:12" x14ac:dyDescent="0.4">
      <c r="A23" s="92"/>
      <c r="D23" t="s">
        <v>341</v>
      </c>
      <c r="E23"/>
      <c r="I23" s="138">
        <f>I125</f>
        <v>0</v>
      </c>
      <c r="L23" s="238"/>
    </row>
    <row r="24" spans="1:12" x14ac:dyDescent="0.4">
      <c r="A24" s="92"/>
      <c r="D24" t="s">
        <v>342</v>
      </c>
      <c r="E24"/>
      <c r="I24" s="213">
        <v>0</v>
      </c>
      <c r="L24" s="238"/>
    </row>
    <row r="25" spans="1:12" x14ac:dyDescent="0.4">
      <c r="A25" s="92"/>
      <c r="D25" t="s">
        <v>343</v>
      </c>
      <c r="E25"/>
      <c r="I25" s="138">
        <f>SUM(I22:I24)</f>
        <v>6680.8799999999992</v>
      </c>
      <c r="L25" s="238"/>
    </row>
    <row r="26" spans="1:12" x14ac:dyDescent="0.4">
      <c r="A26" s="92"/>
      <c r="D26" t="s">
        <v>347</v>
      </c>
      <c r="E26"/>
      <c r="I26" s="213">
        <v>-6685</v>
      </c>
      <c r="L26" s="238"/>
    </row>
    <row r="27" spans="1:12" ht="15.4" thickBot="1" x14ac:dyDescent="0.45">
      <c r="A27" s="92"/>
      <c r="D27" s="116" t="s">
        <v>477</v>
      </c>
      <c r="E27"/>
      <c r="I27" s="214">
        <f>SUM(I25:I26)</f>
        <v>-4.1200000000008004</v>
      </c>
      <c r="L27" s="238"/>
    </row>
    <row r="28" spans="1:12" ht="15.4" thickTop="1" x14ac:dyDescent="0.4">
      <c r="A28" s="92"/>
      <c r="B28" s="116"/>
      <c r="L28" s="238"/>
    </row>
    <row r="29" spans="1:12" x14ac:dyDescent="0.4">
      <c r="A29" s="92"/>
      <c r="B29" s="116"/>
      <c r="L29" s="238"/>
    </row>
    <row r="30" spans="1:12" x14ac:dyDescent="0.4">
      <c r="A30" s="92"/>
      <c r="B30" s="592" t="s">
        <v>333</v>
      </c>
      <c r="L30" s="238"/>
    </row>
    <row r="31" spans="1:12" x14ac:dyDescent="0.4">
      <c r="A31" s="92"/>
      <c r="L31" s="238"/>
    </row>
    <row r="32" spans="1:12" x14ac:dyDescent="0.4">
      <c r="A32" s="92"/>
      <c r="D32" s="268" t="s">
        <v>187</v>
      </c>
      <c r="E32" s="258" t="s">
        <v>188</v>
      </c>
      <c r="F32" s="199">
        <f>C33</f>
        <v>2000</v>
      </c>
      <c r="G32" s="199">
        <f>C34</f>
        <v>4000</v>
      </c>
      <c r="H32" s="199">
        <f>C35</f>
        <v>44000</v>
      </c>
      <c r="I32" s="199">
        <f>C36</f>
        <v>50000</v>
      </c>
      <c r="J32" s="199">
        <f>C37</f>
        <v>100000</v>
      </c>
      <c r="K32" s="268" t="s">
        <v>32</v>
      </c>
      <c r="L32" s="238"/>
    </row>
    <row r="33" spans="1:12" x14ac:dyDescent="0.4">
      <c r="A33" s="92"/>
      <c r="B33" t="s">
        <v>51</v>
      </c>
      <c r="C33" s="197">
        <v>2000</v>
      </c>
      <c r="D33" s="197">
        <v>20595</v>
      </c>
      <c r="E33" s="197">
        <v>17876862</v>
      </c>
      <c r="F33" s="197">
        <f>E33</f>
        <v>17876862</v>
      </c>
      <c r="G33" s="197"/>
      <c r="H33" s="197"/>
      <c r="I33" s="197"/>
      <c r="J33" s="197"/>
      <c r="K33" s="197">
        <f>SUM(F33:J33)</f>
        <v>17876862</v>
      </c>
      <c r="L33" s="238"/>
    </row>
    <row r="34" spans="1:12" x14ac:dyDescent="0.4">
      <c r="A34" s="92"/>
      <c r="B34" t="s">
        <v>52</v>
      </c>
      <c r="C34" s="197">
        <v>4000</v>
      </c>
      <c r="D34" s="197">
        <v>29054</v>
      </c>
      <c r="E34" s="197">
        <v>105196275</v>
      </c>
      <c r="F34" s="197">
        <f>D34*F32</f>
        <v>58108000</v>
      </c>
      <c r="G34" s="197">
        <f>E34-F34</f>
        <v>47088275</v>
      </c>
      <c r="H34" s="197"/>
      <c r="I34" s="197"/>
      <c r="J34" s="197"/>
      <c r="K34" s="197">
        <f t="shared" ref="K34:K37" si="1">SUM(F34:J34)</f>
        <v>105196275</v>
      </c>
      <c r="L34" s="238"/>
    </row>
    <row r="35" spans="1:12" x14ac:dyDescent="0.4">
      <c r="A35" s="92"/>
      <c r="B35" t="s">
        <v>52</v>
      </c>
      <c r="C35" s="197">
        <v>44000</v>
      </c>
      <c r="D35" s="197">
        <v>9538</v>
      </c>
      <c r="E35" s="197">
        <v>99448423</v>
      </c>
      <c r="F35" s="197">
        <f>D35*F32</f>
        <v>19076000</v>
      </c>
      <c r="G35" s="197">
        <f>D35*G32</f>
        <v>38152000</v>
      </c>
      <c r="H35" s="197">
        <f>E35-F35-G35</f>
        <v>42220423</v>
      </c>
      <c r="I35" s="197"/>
      <c r="J35" s="197"/>
      <c r="K35" s="197">
        <f t="shared" si="1"/>
        <v>99448423</v>
      </c>
      <c r="L35" s="238"/>
    </row>
    <row r="36" spans="1:12" x14ac:dyDescent="0.4">
      <c r="A36" s="92"/>
      <c r="B36" t="s">
        <v>52</v>
      </c>
      <c r="C36" s="197">
        <v>50000</v>
      </c>
      <c r="D36" s="197">
        <v>88</v>
      </c>
      <c r="E36" s="197">
        <v>6553607</v>
      </c>
      <c r="F36" s="197">
        <f>D36*F32</f>
        <v>176000</v>
      </c>
      <c r="G36" s="197">
        <f>D36*G32</f>
        <v>352000</v>
      </c>
      <c r="H36" s="197">
        <f>D36*H32</f>
        <v>3872000</v>
      </c>
      <c r="I36" s="197">
        <f>E36-F36-G36-H36</f>
        <v>2153607</v>
      </c>
      <c r="J36" s="197"/>
      <c r="K36" s="197">
        <f t="shared" si="1"/>
        <v>6553607</v>
      </c>
      <c r="L36" s="238"/>
    </row>
    <row r="37" spans="1:12" x14ac:dyDescent="0.4">
      <c r="A37" s="92"/>
      <c r="B37" t="s">
        <v>114</v>
      </c>
      <c r="C37" s="197">
        <f>SUM(C33:C36)</f>
        <v>100000</v>
      </c>
      <c r="D37" s="197">
        <v>64</v>
      </c>
      <c r="E37" s="197">
        <v>8731962</v>
      </c>
      <c r="F37" s="197">
        <f>D37*F32</f>
        <v>128000</v>
      </c>
      <c r="G37" s="197">
        <f>D37*G32</f>
        <v>256000</v>
      </c>
      <c r="H37" s="197">
        <f>H32*D37</f>
        <v>2816000</v>
      </c>
      <c r="I37" s="197">
        <f>I32*D37</f>
        <v>3200000</v>
      </c>
      <c r="J37" s="197">
        <f>E37-F37-G37-H37-I37</f>
        <v>2331962</v>
      </c>
      <c r="K37" s="197">
        <f t="shared" si="1"/>
        <v>8731962</v>
      </c>
      <c r="L37" s="238"/>
    </row>
    <row r="38" spans="1:12" ht="15.4" thickBot="1" x14ac:dyDescent="0.45">
      <c r="A38" s="92"/>
      <c r="D38" s="270">
        <f>SUM(D33:D37)</f>
        <v>59339</v>
      </c>
      <c r="E38" s="270">
        <f t="shared" ref="E38:K38" si="2">SUM(E33:E37)</f>
        <v>237807129</v>
      </c>
      <c r="F38" s="270">
        <f t="shared" si="2"/>
        <v>95364862</v>
      </c>
      <c r="G38" s="270">
        <f t="shared" si="2"/>
        <v>85848275</v>
      </c>
      <c r="H38" s="270">
        <f t="shared" si="2"/>
        <v>48908423</v>
      </c>
      <c r="I38" s="270">
        <f t="shared" si="2"/>
        <v>5353607</v>
      </c>
      <c r="J38" s="270">
        <f t="shared" si="2"/>
        <v>2331962</v>
      </c>
      <c r="K38" s="270">
        <f t="shared" si="2"/>
        <v>237807129</v>
      </c>
      <c r="L38" s="238"/>
    </row>
    <row r="39" spans="1:12" ht="15.4" thickTop="1" x14ac:dyDescent="0.4">
      <c r="A39" s="92"/>
      <c r="D39" s="197"/>
      <c r="E39"/>
      <c r="F39"/>
      <c r="G39"/>
      <c r="I39"/>
      <c r="L39" s="238"/>
    </row>
    <row r="40" spans="1:12" x14ac:dyDescent="0.4">
      <c r="A40" s="92"/>
      <c r="B40" t="s">
        <v>51</v>
      </c>
      <c r="C40" s="197">
        <f>C33</f>
        <v>2000</v>
      </c>
      <c r="D40" t="s">
        <v>188</v>
      </c>
      <c r="E40" s="197">
        <f>D38</f>
        <v>59339</v>
      </c>
      <c r="F40" s="197">
        <f>F38</f>
        <v>95364862</v>
      </c>
      <c r="G40" s="244">
        <v>20.38</v>
      </c>
      <c r="H40" t="s">
        <v>241</v>
      </c>
      <c r="I40" s="197">
        <f>ROUND(E40*G40,2)</f>
        <v>1209328.82</v>
      </c>
      <c r="L40" s="238"/>
    </row>
    <row r="41" spans="1:12" x14ac:dyDescent="0.4">
      <c r="A41" s="92"/>
      <c r="B41" t="s">
        <v>52</v>
      </c>
      <c r="C41" s="197">
        <f>C34</f>
        <v>4000</v>
      </c>
      <c r="D41" t="s">
        <v>188</v>
      </c>
      <c r="E41" s="197"/>
      <c r="F41" s="197">
        <f>G38</f>
        <v>85848275</v>
      </c>
      <c r="G41" s="271">
        <v>5.9000000000000007E-3</v>
      </c>
      <c r="H41" t="s">
        <v>240</v>
      </c>
      <c r="I41" s="197">
        <f>ROUND(F41*G41,2)</f>
        <v>506504.82</v>
      </c>
      <c r="L41" s="238"/>
    </row>
    <row r="42" spans="1:12" x14ac:dyDescent="0.4">
      <c r="A42" s="92"/>
      <c r="B42" t="s">
        <v>52</v>
      </c>
      <c r="C42" s="197">
        <f>C35</f>
        <v>44000</v>
      </c>
      <c r="D42" t="s">
        <v>188</v>
      </c>
      <c r="E42" s="197"/>
      <c r="F42" s="197">
        <f>H38</f>
        <v>48908423</v>
      </c>
      <c r="G42" s="271">
        <v>5.2399999999999999E-3</v>
      </c>
      <c r="H42" t="s">
        <v>240</v>
      </c>
      <c r="I42" s="197">
        <f t="shared" ref="I42:I44" si="3">ROUND(F42*G42,2)</f>
        <v>256280.14</v>
      </c>
      <c r="L42" s="238"/>
    </row>
    <row r="43" spans="1:12" x14ac:dyDescent="0.4">
      <c r="A43" s="92"/>
      <c r="B43" t="s">
        <v>52</v>
      </c>
      <c r="C43" s="197">
        <f>C36</f>
        <v>50000</v>
      </c>
      <c r="D43" t="s">
        <v>188</v>
      </c>
      <c r="E43" s="197"/>
      <c r="F43" s="197">
        <f>I38</f>
        <v>5353607</v>
      </c>
      <c r="G43" s="271">
        <v>4.5100000000000001E-3</v>
      </c>
      <c r="H43" t="s">
        <v>240</v>
      </c>
      <c r="I43" s="197">
        <f t="shared" si="3"/>
        <v>24144.77</v>
      </c>
      <c r="L43" s="238"/>
    </row>
    <row r="44" spans="1:12" x14ac:dyDescent="0.4">
      <c r="A44" s="92"/>
      <c r="B44" t="s">
        <v>114</v>
      </c>
      <c r="C44" s="197">
        <f>C37</f>
        <v>100000</v>
      </c>
      <c r="D44" t="s">
        <v>188</v>
      </c>
      <c r="E44" s="197"/>
      <c r="F44" s="197">
        <f>J38</f>
        <v>2331962</v>
      </c>
      <c r="G44" s="271">
        <v>3.7599999999999999E-3</v>
      </c>
      <c r="H44" t="s">
        <v>240</v>
      </c>
      <c r="I44" s="138">
        <f t="shared" si="3"/>
        <v>8768.18</v>
      </c>
      <c r="L44" s="238"/>
    </row>
    <row r="45" spans="1:12" ht="15.4" thickBot="1" x14ac:dyDescent="0.45">
      <c r="A45" s="92"/>
      <c r="B45" t="s">
        <v>348</v>
      </c>
      <c r="D45"/>
      <c r="E45" s="270">
        <f>SUM(E40:E44)</f>
        <v>59339</v>
      </c>
      <c r="F45" s="270">
        <f>SUM(F40:F44)</f>
        <v>237807129</v>
      </c>
      <c r="G45"/>
      <c r="H45"/>
      <c r="I45" s="214">
        <f>SUM(I40:I44)</f>
        <v>2005026.7300000002</v>
      </c>
      <c r="L45" s="238"/>
    </row>
    <row r="46" spans="1:12" ht="15.4" thickTop="1" x14ac:dyDescent="0.4">
      <c r="A46" s="92"/>
      <c r="L46" s="238"/>
    </row>
    <row r="47" spans="1:12" x14ac:dyDescent="0.4">
      <c r="A47" s="92"/>
      <c r="B47" s="592" t="s">
        <v>349</v>
      </c>
      <c r="L47" s="238"/>
    </row>
    <row r="48" spans="1:12" x14ac:dyDescent="0.4">
      <c r="A48" s="92"/>
      <c r="C48" s="197"/>
      <c r="D48" s="268" t="s">
        <v>187</v>
      </c>
      <c r="E48" s="258" t="s">
        <v>188</v>
      </c>
      <c r="F48" s="199">
        <f>C49</f>
        <v>5000</v>
      </c>
      <c r="G48" s="199">
        <f>C50</f>
        <v>1000</v>
      </c>
      <c r="H48" s="199">
        <f>C51</f>
        <v>44000</v>
      </c>
      <c r="I48" s="199">
        <f>C52</f>
        <v>50000</v>
      </c>
      <c r="J48" s="199">
        <f>C53</f>
        <v>100000</v>
      </c>
      <c r="K48" s="268" t="s">
        <v>32</v>
      </c>
      <c r="L48" s="238"/>
    </row>
    <row r="49" spans="1:12" x14ac:dyDescent="0.4">
      <c r="A49" s="92"/>
      <c r="B49" t="s">
        <v>51</v>
      </c>
      <c r="C49" s="197">
        <v>5000</v>
      </c>
      <c r="D49" s="197">
        <v>341</v>
      </c>
      <c r="E49" s="197">
        <v>790645</v>
      </c>
      <c r="F49" s="197">
        <f>E49</f>
        <v>790645</v>
      </c>
      <c r="G49" s="197"/>
      <c r="H49" s="197"/>
      <c r="I49" s="197"/>
      <c r="J49" s="197"/>
      <c r="K49" s="197">
        <f>SUM(F49:J49)</f>
        <v>790645</v>
      </c>
      <c r="L49" s="238"/>
    </row>
    <row r="50" spans="1:12" x14ac:dyDescent="0.4">
      <c r="A50" s="92"/>
      <c r="B50" t="s">
        <v>52</v>
      </c>
      <c r="C50" s="197">
        <v>1000</v>
      </c>
      <c r="D50" s="197">
        <v>54</v>
      </c>
      <c r="E50" s="197">
        <v>295341</v>
      </c>
      <c r="F50" s="197">
        <f>D50*F48</f>
        <v>270000</v>
      </c>
      <c r="G50" s="197">
        <f>E50-F50</f>
        <v>25341</v>
      </c>
      <c r="H50" s="197"/>
      <c r="I50" s="197"/>
      <c r="J50" s="197"/>
      <c r="K50" s="197">
        <f t="shared" ref="K50:K53" si="4">SUM(F50:J50)</f>
        <v>295341</v>
      </c>
      <c r="L50" s="238"/>
    </row>
    <row r="51" spans="1:12" x14ac:dyDescent="0.4">
      <c r="A51" s="92"/>
      <c r="B51" t="s">
        <v>52</v>
      </c>
      <c r="C51" s="197">
        <v>44000</v>
      </c>
      <c r="D51" s="197">
        <v>248</v>
      </c>
      <c r="E51" s="197">
        <v>3636306</v>
      </c>
      <c r="F51" s="197">
        <f>D51*F48</f>
        <v>1240000</v>
      </c>
      <c r="G51" s="197">
        <f>D51*G48</f>
        <v>248000</v>
      </c>
      <c r="H51" s="197">
        <f>E51-F51-G51</f>
        <v>2148306</v>
      </c>
      <c r="I51" s="197"/>
      <c r="J51" s="197"/>
      <c r="K51" s="197">
        <f t="shared" si="4"/>
        <v>3636306</v>
      </c>
      <c r="L51" s="238"/>
    </row>
    <row r="52" spans="1:12" x14ac:dyDescent="0.4">
      <c r="A52" s="92"/>
      <c r="B52" t="s">
        <v>52</v>
      </c>
      <c r="C52" s="197">
        <v>50000</v>
      </c>
      <c r="D52" s="197">
        <v>54</v>
      </c>
      <c r="E52" s="197">
        <v>3908284</v>
      </c>
      <c r="F52" s="197">
        <f>D52*F48</f>
        <v>270000</v>
      </c>
      <c r="G52" s="197">
        <f>D52*G48</f>
        <v>54000</v>
      </c>
      <c r="H52" s="197">
        <f>D52*H48</f>
        <v>2376000</v>
      </c>
      <c r="I52" s="197">
        <f>E52-F52-G52-H52</f>
        <v>1208284</v>
      </c>
      <c r="J52" s="197"/>
      <c r="K52" s="197">
        <f t="shared" si="4"/>
        <v>3908284</v>
      </c>
      <c r="L52" s="238"/>
    </row>
    <row r="53" spans="1:12" x14ac:dyDescent="0.4">
      <c r="A53" s="92"/>
      <c r="B53" t="s">
        <v>114</v>
      </c>
      <c r="C53" s="197">
        <f>SUM(C49:C52)</f>
        <v>100000</v>
      </c>
      <c r="D53" s="197">
        <v>44</v>
      </c>
      <c r="E53" s="197">
        <v>7016157</v>
      </c>
      <c r="F53" s="197">
        <f>D53*F48</f>
        <v>220000</v>
      </c>
      <c r="G53" s="197">
        <f>D53*G48</f>
        <v>44000</v>
      </c>
      <c r="H53" s="197">
        <f>H48*D53</f>
        <v>1936000</v>
      </c>
      <c r="I53" s="197">
        <f>I48*D53</f>
        <v>2200000</v>
      </c>
      <c r="J53" s="197">
        <f>E53-F53-G53-H53-I53</f>
        <v>2616157</v>
      </c>
      <c r="K53" s="197">
        <f t="shared" si="4"/>
        <v>7016157</v>
      </c>
      <c r="L53" s="238"/>
    </row>
    <row r="54" spans="1:12" ht="15.4" thickBot="1" x14ac:dyDescent="0.45">
      <c r="A54" s="92"/>
      <c r="C54" s="197"/>
      <c r="D54" s="270">
        <f>SUM(D49:D53)</f>
        <v>741</v>
      </c>
      <c r="E54" s="270">
        <f t="shared" ref="E54:K54" si="5">SUM(E49:E53)</f>
        <v>15646733</v>
      </c>
      <c r="F54" s="270">
        <f t="shared" si="5"/>
        <v>2790645</v>
      </c>
      <c r="G54" s="270">
        <f t="shared" si="5"/>
        <v>371341</v>
      </c>
      <c r="H54" s="270">
        <f t="shared" si="5"/>
        <v>6460306</v>
      </c>
      <c r="I54" s="270">
        <f t="shared" si="5"/>
        <v>3408284</v>
      </c>
      <c r="J54" s="270">
        <f t="shared" si="5"/>
        <v>2616157</v>
      </c>
      <c r="K54" s="270">
        <f t="shared" si="5"/>
        <v>15646733</v>
      </c>
      <c r="L54" s="238"/>
    </row>
    <row r="55" spans="1:12" ht="15.4" thickTop="1" x14ac:dyDescent="0.4">
      <c r="A55" s="92"/>
      <c r="C55" s="197"/>
      <c r="E55"/>
      <c r="F55"/>
      <c r="G55"/>
      <c r="I55"/>
      <c r="L55" s="238"/>
    </row>
    <row r="56" spans="1:12" x14ac:dyDescent="0.4">
      <c r="A56" s="92"/>
      <c r="B56" t="s">
        <v>51</v>
      </c>
      <c r="C56" s="197">
        <f>C49</f>
        <v>5000</v>
      </c>
      <c r="D56" t="s">
        <v>188</v>
      </c>
      <c r="E56" s="197">
        <f>D54</f>
        <v>741</v>
      </c>
      <c r="F56" s="197">
        <f>F54</f>
        <v>2790645</v>
      </c>
      <c r="G56" s="244">
        <v>38.68</v>
      </c>
      <c r="H56" t="s">
        <v>241</v>
      </c>
      <c r="I56" s="138">
        <f>ROUND(E56*G56,2)</f>
        <v>28661.88</v>
      </c>
      <c r="L56" s="238"/>
    </row>
    <row r="57" spans="1:12" x14ac:dyDescent="0.4">
      <c r="A57" s="92"/>
      <c r="B57" t="s">
        <v>52</v>
      </c>
      <c r="C57" s="197">
        <f t="shared" ref="C57:C60" si="6">C50</f>
        <v>1000</v>
      </c>
      <c r="D57" t="s">
        <v>188</v>
      </c>
      <c r="E57" s="197"/>
      <c r="F57" s="197">
        <f>G54</f>
        <v>371341</v>
      </c>
      <c r="G57" s="271">
        <v>5.9000000000000007E-3</v>
      </c>
      <c r="H57" t="s">
        <v>240</v>
      </c>
      <c r="I57" s="138">
        <f>ROUND(F57*G57,2)</f>
        <v>2190.91</v>
      </c>
      <c r="L57" s="238"/>
    </row>
    <row r="58" spans="1:12" x14ac:dyDescent="0.4">
      <c r="A58" s="92"/>
      <c r="B58" t="s">
        <v>52</v>
      </c>
      <c r="C58" s="197">
        <f t="shared" si="6"/>
        <v>44000</v>
      </c>
      <c r="D58" t="s">
        <v>188</v>
      </c>
      <c r="E58" s="197"/>
      <c r="F58" s="197">
        <f>H54</f>
        <v>6460306</v>
      </c>
      <c r="G58" s="271">
        <v>5.2399999999999999E-3</v>
      </c>
      <c r="H58" t="s">
        <v>240</v>
      </c>
      <c r="I58" s="138">
        <f t="shared" ref="I58:I60" si="7">ROUND(F58*G58,2)</f>
        <v>33852</v>
      </c>
      <c r="L58" s="238"/>
    </row>
    <row r="59" spans="1:12" x14ac:dyDescent="0.4">
      <c r="A59" s="92"/>
      <c r="B59" t="s">
        <v>52</v>
      </c>
      <c r="C59" s="197">
        <f t="shared" si="6"/>
        <v>50000</v>
      </c>
      <c r="D59" t="s">
        <v>188</v>
      </c>
      <c r="E59" s="197"/>
      <c r="F59" s="197">
        <f>I54</f>
        <v>3408284</v>
      </c>
      <c r="G59" s="271">
        <v>4.5100000000000001E-3</v>
      </c>
      <c r="H59" t="s">
        <v>240</v>
      </c>
      <c r="I59" s="138">
        <f t="shared" si="7"/>
        <v>15371.36</v>
      </c>
      <c r="L59" s="238"/>
    </row>
    <row r="60" spans="1:12" x14ac:dyDescent="0.4">
      <c r="A60" s="92"/>
      <c r="B60" t="s">
        <v>114</v>
      </c>
      <c r="C60" s="197">
        <f t="shared" si="6"/>
        <v>100000</v>
      </c>
      <c r="D60" t="s">
        <v>188</v>
      </c>
      <c r="E60" s="197"/>
      <c r="F60" s="197">
        <f>J54</f>
        <v>2616157</v>
      </c>
      <c r="G60" s="271">
        <v>3.7599999999999999E-3</v>
      </c>
      <c r="H60" t="s">
        <v>240</v>
      </c>
      <c r="I60" s="138">
        <f t="shared" si="7"/>
        <v>9836.75</v>
      </c>
      <c r="L60" s="238"/>
    </row>
    <row r="61" spans="1:12" ht="15.4" thickBot="1" x14ac:dyDescent="0.45">
      <c r="A61" s="92"/>
      <c r="B61" s="116" t="s">
        <v>735</v>
      </c>
      <c r="C61" s="197"/>
      <c r="D61"/>
      <c r="E61" s="270">
        <f>SUM(E56:E60)</f>
        <v>741</v>
      </c>
      <c r="F61" s="270">
        <f>SUM(F56:F60)</f>
        <v>15646733</v>
      </c>
      <c r="G61"/>
      <c r="H61"/>
      <c r="I61" s="214">
        <f>SUM(I56:I60)</f>
        <v>89912.9</v>
      </c>
      <c r="L61" s="238"/>
    </row>
    <row r="62" spans="1:12" ht="15.4" thickTop="1" x14ac:dyDescent="0.4">
      <c r="A62" s="92"/>
      <c r="L62" s="238"/>
    </row>
    <row r="63" spans="1:12" x14ac:dyDescent="0.4">
      <c r="A63" s="92"/>
      <c r="B63" s="592" t="s">
        <v>350</v>
      </c>
      <c r="L63" s="238"/>
    </row>
    <row r="64" spans="1:12" x14ac:dyDescent="0.4">
      <c r="A64" s="92"/>
      <c r="C64" s="197"/>
      <c r="E64" s="268" t="s">
        <v>187</v>
      </c>
      <c r="F64" s="258" t="s">
        <v>188</v>
      </c>
      <c r="G64" s="199">
        <f>C65</f>
        <v>10000</v>
      </c>
      <c r="H64" s="199">
        <f>C66</f>
        <v>40000</v>
      </c>
      <c r="I64" s="199">
        <f>C67</f>
        <v>50000</v>
      </c>
      <c r="J64" s="199">
        <f>C68</f>
        <v>100000</v>
      </c>
      <c r="K64" s="268" t="s">
        <v>32</v>
      </c>
      <c r="L64" s="238"/>
    </row>
    <row r="65" spans="1:12" x14ac:dyDescent="0.4">
      <c r="A65" s="92"/>
      <c r="B65" t="s">
        <v>51</v>
      </c>
      <c r="C65" s="197">
        <v>10000</v>
      </c>
      <c r="D65" t="s">
        <v>188</v>
      </c>
      <c r="E65" s="197">
        <v>3</v>
      </c>
      <c r="F65" s="197">
        <v>22341</v>
      </c>
      <c r="G65" s="197">
        <f>F65</f>
        <v>22341</v>
      </c>
      <c r="H65" s="197"/>
      <c r="I65" s="197"/>
      <c r="J65" s="197"/>
      <c r="K65" s="197">
        <f>SUM(G65:J65)</f>
        <v>22341</v>
      </c>
      <c r="L65" s="238"/>
    </row>
    <row r="66" spans="1:12" x14ac:dyDescent="0.4">
      <c r="A66" s="92"/>
      <c r="B66" t="s">
        <v>52</v>
      </c>
      <c r="C66" s="197">
        <v>40000</v>
      </c>
      <c r="D66" t="s">
        <v>188</v>
      </c>
      <c r="E66" s="197">
        <v>21</v>
      </c>
      <c r="F66" s="197">
        <v>518243</v>
      </c>
      <c r="G66" s="197">
        <f>E66*G64</f>
        <v>210000</v>
      </c>
      <c r="H66" s="197">
        <f>F66-G66</f>
        <v>308243</v>
      </c>
      <c r="I66" s="197"/>
      <c r="J66" s="197"/>
      <c r="K66" s="197">
        <f>SUM(G66:J66)</f>
        <v>518243</v>
      </c>
      <c r="L66" s="238"/>
    </row>
    <row r="67" spans="1:12" x14ac:dyDescent="0.4">
      <c r="A67" s="92"/>
      <c r="B67" t="s">
        <v>52</v>
      </c>
      <c r="C67" s="197">
        <v>50000</v>
      </c>
      <c r="D67" t="s">
        <v>188</v>
      </c>
      <c r="E67" s="197">
        <v>3</v>
      </c>
      <c r="F67" s="197">
        <v>255307</v>
      </c>
      <c r="G67" s="197">
        <f>E67*G64</f>
        <v>30000</v>
      </c>
      <c r="H67" s="197">
        <f>E67*H64</f>
        <v>120000</v>
      </c>
      <c r="I67" s="197">
        <f>F67-G67-H67</f>
        <v>105307</v>
      </c>
      <c r="J67" s="197"/>
      <c r="K67" s="197">
        <f>SUM(G67:J67)</f>
        <v>255307</v>
      </c>
      <c r="L67" s="238"/>
    </row>
    <row r="68" spans="1:12" x14ac:dyDescent="0.4">
      <c r="A68" s="92"/>
      <c r="B68" t="s">
        <v>114</v>
      </c>
      <c r="C68" s="197">
        <f>SUM(C65:C67)</f>
        <v>100000</v>
      </c>
      <c r="D68" t="s">
        <v>188</v>
      </c>
      <c r="E68" s="197">
        <v>23</v>
      </c>
      <c r="F68" s="197">
        <v>9866500</v>
      </c>
      <c r="G68" s="197">
        <f>E68*G64</f>
        <v>230000</v>
      </c>
      <c r="H68" s="197">
        <f>H64*E68</f>
        <v>920000</v>
      </c>
      <c r="I68" s="197">
        <f>I64*E68</f>
        <v>1150000</v>
      </c>
      <c r="J68" s="197">
        <f>F68-G68-H68-I68</f>
        <v>7566500</v>
      </c>
      <c r="K68" s="197">
        <f>SUM(G68:J68)</f>
        <v>9866500</v>
      </c>
      <c r="L68" s="238"/>
    </row>
    <row r="69" spans="1:12" ht="15.4" thickBot="1" x14ac:dyDescent="0.45">
      <c r="A69" s="92"/>
      <c r="C69" s="197"/>
      <c r="E69" s="270">
        <f t="shared" ref="E69:K69" si="8">SUM(E65:E68)</f>
        <v>50</v>
      </c>
      <c r="F69" s="270">
        <f t="shared" si="8"/>
        <v>10662391</v>
      </c>
      <c r="G69" s="270">
        <f t="shared" si="8"/>
        <v>492341</v>
      </c>
      <c r="H69" s="270">
        <f t="shared" si="8"/>
        <v>1348243</v>
      </c>
      <c r="I69" s="270">
        <f t="shared" si="8"/>
        <v>1255307</v>
      </c>
      <c r="J69" s="270">
        <f t="shared" si="8"/>
        <v>7566500</v>
      </c>
      <c r="K69" s="270">
        <f t="shared" si="8"/>
        <v>10662391</v>
      </c>
      <c r="L69" s="238"/>
    </row>
    <row r="70" spans="1:12" ht="15.4" thickTop="1" x14ac:dyDescent="0.4">
      <c r="A70" s="92"/>
      <c r="C70" s="197"/>
      <c r="F70"/>
      <c r="G70"/>
      <c r="H70"/>
      <c r="I70"/>
      <c r="L70" s="238"/>
    </row>
    <row r="71" spans="1:12" x14ac:dyDescent="0.4">
      <c r="A71" s="92"/>
      <c r="B71" t="s">
        <v>51</v>
      </c>
      <c r="C71" s="197">
        <f>C65</f>
        <v>10000</v>
      </c>
      <c r="D71" t="s">
        <v>188</v>
      </c>
      <c r="E71" s="197">
        <f>E69</f>
        <v>50</v>
      </c>
      <c r="F71" s="197">
        <f>G69</f>
        <v>492341</v>
      </c>
      <c r="G71" s="244">
        <v>69.11</v>
      </c>
      <c r="H71" t="s">
        <v>241</v>
      </c>
      <c r="I71" s="197">
        <f>ROUND(E71*G71,2)</f>
        <v>3455.5</v>
      </c>
      <c r="J71" s="197"/>
      <c r="L71" s="238"/>
    </row>
    <row r="72" spans="1:12" x14ac:dyDescent="0.4">
      <c r="A72" s="92"/>
      <c r="B72" t="s">
        <v>52</v>
      </c>
      <c r="C72" s="197">
        <f t="shared" ref="C72:C74" si="9">C66</f>
        <v>40000</v>
      </c>
      <c r="D72" t="s">
        <v>188</v>
      </c>
      <c r="E72" s="197"/>
      <c r="F72" s="197">
        <f>H69</f>
        <v>1348243</v>
      </c>
      <c r="G72" s="271">
        <v>5.2399999999999999E-3</v>
      </c>
      <c r="H72" t="s">
        <v>240</v>
      </c>
      <c r="I72" s="197">
        <f t="shared" ref="I72:I74" si="10">ROUND(F72*G72,2)</f>
        <v>7064.79</v>
      </c>
      <c r="J72" s="197"/>
      <c r="L72" s="238"/>
    </row>
    <row r="73" spans="1:12" x14ac:dyDescent="0.4">
      <c r="A73" s="92"/>
      <c r="B73" t="s">
        <v>52</v>
      </c>
      <c r="C73" s="197">
        <f t="shared" si="9"/>
        <v>50000</v>
      </c>
      <c r="D73" t="s">
        <v>188</v>
      </c>
      <c r="E73" s="197"/>
      <c r="F73" s="197">
        <f>I69</f>
        <v>1255307</v>
      </c>
      <c r="G73" s="271">
        <v>4.5100000000000001E-3</v>
      </c>
      <c r="H73" t="s">
        <v>240</v>
      </c>
      <c r="I73" s="197">
        <f t="shared" si="10"/>
        <v>5661.43</v>
      </c>
      <c r="J73" s="197"/>
      <c r="L73" s="238"/>
    </row>
    <row r="74" spans="1:12" x14ac:dyDescent="0.4">
      <c r="A74" s="92"/>
      <c r="B74" t="s">
        <v>114</v>
      </c>
      <c r="C74" s="197">
        <f t="shared" si="9"/>
        <v>100000</v>
      </c>
      <c r="D74" t="s">
        <v>188</v>
      </c>
      <c r="E74" s="197"/>
      <c r="F74" s="197">
        <f>J68</f>
        <v>7566500</v>
      </c>
      <c r="G74" s="271">
        <v>3.7599999999999999E-3</v>
      </c>
      <c r="H74" t="s">
        <v>240</v>
      </c>
      <c r="I74" s="213">
        <f t="shared" si="10"/>
        <v>28450.04</v>
      </c>
      <c r="J74" s="197"/>
      <c r="L74" s="238"/>
    </row>
    <row r="75" spans="1:12" ht="15.4" thickBot="1" x14ac:dyDescent="0.45">
      <c r="A75" s="92"/>
      <c r="B75" s="116" t="s">
        <v>734</v>
      </c>
      <c r="C75" s="197"/>
      <c r="E75" s="270">
        <f>SUM(E71:E74)</f>
        <v>50</v>
      </c>
      <c r="F75" s="270">
        <f>SUM(F71:F74)</f>
        <v>10662391</v>
      </c>
      <c r="G75"/>
      <c r="H75"/>
      <c r="I75" s="214">
        <f>SUM(I71:I74)</f>
        <v>44631.76</v>
      </c>
      <c r="J75" s="197"/>
      <c r="L75" s="238"/>
    </row>
    <row r="76" spans="1:12" ht="15.4" thickTop="1" x14ac:dyDescent="0.4">
      <c r="A76" s="248"/>
      <c r="B76" s="136"/>
      <c r="C76" s="136"/>
      <c r="D76" s="213"/>
      <c r="E76" s="213"/>
      <c r="F76" s="213"/>
      <c r="G76" s="213"/>
      <c r="H76" s="213"/>
      <c r="I76" s="213"/>
      <c r="J76" s="213"/>
      <c r="K76" s="213"/>
      <c r="L76" s="249"/>
    </row>
    <row r="77" spans="1:12" x14ac:dyDescent="0.4">
      <c r="A77" s="246"/>
      <c r="B77" s="654" t="s">
        <v>733</v>
      </c>
      <c r="C77" s="654"/>
      <c r="D77" s="654"/>
      <c r="E77" s="654"/>
      <c r="F77" s="654"/>
      <c r="G77" s="654"/>
      <c r="H77" s="654"/>
      <c r="I77" s="654"/>
      <c r="J77" s="654"/>
      <c r="K77" s="654"/>
      <c r="L77" s="247"/>
    </row>
    <row r="78" spans="1:12" x14ac:dyDescent="0.4">
      <c r="A78" s="92"/>
      <c r="L78" s="238"/>
    </row>
    <row r="79" spans="1:12" x14ac:dyDescent="0.4">
      <c r="A79" s="92"/>
      <c r="B79" s="592" t="s">
        <v>336</v>
      </c>
      <c r="L79" s="238"/>
    </row>
    <row r="80" spans="1:12" x14ac:dyDescent="0.4">
      <c r="A80" s="92"/>
      <c r="C80" s="197"/>
      <c r="E80" s="268" t="s">
        <v>187</v>
      </c>
      <c r="F80" s="258" t="s">
        <v>188</v>
      </c>
      <c r="G80" s="199">
        <f>C81</f>
        <v>16000</v>
      </c>
      <c r="H80" s="199">
        <f>C82</f>
        <v>34000</v>
      </c>
      <c r="I80" s="199">
        <f>C83</f>
        <v>50000</v>
      </c>
      <c r="J80" s="199">
        <f>C84</f>
        <v>100000</v>
      </c>
      <c r="K80" s="268" t="s">
        <v>32</v>
      </c>
      <c r="L80" s="238"/>
    </row>
    <row r="81" spans="1:12" x14ac:dyDescent="0.4">
      <c r="A81" s="92"/>
      <c r="B81" t="s">
        <v>51</v>
      </c>
      <c r="C81" s="197">
        <v>16000</v>
      </c>
      <c r="D81" t="s">
        <v>188</v>
      </c>
      <c r="E81" s="197">
        <v>18</v>
      </c>
      <c r="F81" s="197">
        <v>93348</v>
      </c>
      <c r="G81" s="197">
        <f>F81</f>
        <v>93348</v>
      </c>
      <c r="H81" s="197"/>
      <c r="I81" s="197"/>
      <c r="J81" s="197"/>
      <c r="K81" s="197">
        <f>SUM(G81:J81)</f>
        <v>93348</v>
      </c>
      <c r="L81" s="238"/>
    </row>
    <row r="82" spans="1:12" x14ac:dyDescent="0.4">
      <c r="A82" s="92"/>
      <c r="B82" t="s">
        <v>52</v>
      </c>
      <c r="C82" s="197">
        <v>34000</v>
      </c>
      <c r="D82" t="s">
        <v>188</v>
      </c>
      <c r="E82" s="197">
        <v>17</v>
      </c>
      <c r="F82" s="197">
        <v>510798</v>
      </c>
      <c r="G82" s="197">
        <f>E82*G80</f>
        <v>272000</v>
      </c>
      <c r="H82" s="197">
        <f>F82-G82</f>
        <v>238798</v>
      </c>
      <c r="I82" s="197"/>
      <c r="J82" s="197"/>
      <c r="K82" s="197">
        <f>SUM(G82:J82)</f>
        <v>510798</v>
      </c>
      <c r="L82" s="238"/>
    </row>
    <row r="83" spans="1:12" x14ac:dyDescent="0.4">
      <c r="A83" s="92"/>
      <c r="B83" t="s">
        <v>52</v>
      </c>
      <c r="C83" s="197">
        <v>50000</v>
      </c>
      <c r="D83" t="s">
        <v>188</v>
      </c>
      <c r="E83" s="197">
        <v>33</v>
      </c>
      <c r="F83" s="197">
        <v>2074154</v>
      </c>
      <c r="G83" s="197">
        <f>E83*G80</f>
        <v>528000</v>
      </c>
      <c r="H83" s="197">
        <f>E83*H80</f>
        <v>1122000</v>
      </c>
      <c r="I83" s="197">
        <f>F83-G83-H83</f>
        <v>424154</v>
      </c>
      <c r="J83" s="197"/>
      <c r="K83" s="197">
        <f>SUM(G83:J83)</f>
        <v>2074154</v>
      </c>
      <c r="L83" s="238"/>
    </row>
    <row r="84" spans="1:12" x14ac:dyDescent="0.4">
      <c r="A84" s="92"/>
      <c r="B84" t="s">
        <v>114</v>
      </c>
      <c r="C84" s="197">
        <f>SUM(C81:C83)</f>
        <v>100000</v>
      </c>
      <c r="D84" t="s">
        <v>188</v>
      </c>
      <c r="E84" s="197">
        <v>4</v>
      </c>
      <c r="F84" s="197">
        <v>517789</v>
      </c>
      <c r="G84" s="197">
        <f>E84*G80</f>
        <v>64000</v>
      </c>
      <c r="H84" s="197">
        <f>H80*E84</f>
        <v>136000</v>
      </c>
      <c r="I84" s="197">
        <f>I80*E84</f>
        <v>200000</v>
      </c>
      <c r="J84" s="197">
        <f>F84-G84-H84-I84</f>
        <v>117789</v>
      </c>
      <c r="K84" s="197">
        <f>SUM(G84:J84)</f>
        <v>517789</v>
      </c>
      <c r="L84" s="238"/>
    </row>
    <row r="85" spans="1:12" ht="15.4" thickBot="1" x14ac:dyDescent="0.45">
      <c r="A85" s="92"/>
      <c r="C85" s="197"/>
      <c r="E85" s="270">
        <f t="shared" ref="E85:K85" si="11">SUM(E81:E84)</f>
        <v>72</v>
      </c>
      <c r="F85" s="270">
        <f t="shared" si="11"/>
        <v>3196089</v>
      </c>
      <c r="G85" s="270">
        <f t="shared" si="11"/>
        <v>957348</v>
      </c>
      <c r="H85" s="270">
        <f t="shared" si="11"/>
        <v>1496798</v>
      </c>
      <c r="I85" s="270">
        <f t="shared" si="11"/>
        <v>624154</v>
      </c>
      <c r="J85" s="270">
        <f t="shared" si="11"/>
        <v>117789</v>
      </c>
      <c r="K85" s="270">
        <f t="shared" si="11"/>
        <v>3196089</v>
      </c>
      <c r="L85" s="238"/>
    </row>
    <row r="86" spans="1:12" ht="15.4" thickTop="1" x14ac:dyDescent="0.4">
      <c r="A86" s="92"/>
      <c r="C86" s="197"/>
      <c r="D86" s="197"/>
      <c r="E86" s="197"/>
      <c r="F86" s="197"/>
      <c r="G86" s="197"/>
      <c r="H86" s="197"/>
      <c r="I86" s="197"/>
      <c r="J86" s="197"/>
      <c r="L86" s="238"/>
    </row>
    <row r="87" spans="1:12" x14ac:dyDescent="0.4">
      <c r="A87" s="92"/>
      <c r="B87" t="s">
        <v>51</v>
      </c>
      <c r="C87" s="197">
        <v>16000</v>
      </c>
      <c r="D87" t="s">
        <v>188</v>
      </c>
      <c r="E87" s="197">
        <f>E85</f>
        <v>72</v>
      </c>
      <c r="F87" s="197">
        <f>G85</f>
        <v>957348</v>
      </c>
      <c r="G87" s="244">
        <v>101.44</v>
      </c>
      <c r="H87" t="s">
        <v>241</v>
      </c>
      <c r="I87" s="197">
        <f>ROUND(E87*G87,2)</f>
        <v>7303.68</v>
      </c>
      <c r="J87" s="197"/>
      <c r="L87" s="238"/>
    </row>
    <row r="88" spans="1:12" x14ac:dyDescent="0.4">
      <c r="A88" s="92"/>
      <c r="B88" t="s">
        <v>52</v>
      </c>
      <c r="C88" s="197">
        <v>184000</v>
      </c>
      <c r="D88" t="s">
        <v>188</v>
      </c>
      <c r="E88" s="197"/>
      <c r="F88" s="197">
        <f>H85</f>
        <v>1496798</v>
      </c>
      <c r="G88" s="271">
        <v>5.2399999999999999E-3</v>
      </c>
      <c r="H88" t="s">
        <v>240</v>
      </c>
      <c r="I88" s="197">
        <f t="shared" ref="I88:I90" si="12">ROUND(F88*G88,2)</f>
        <v>7843.22</v>
      </c>
      <c r="J88" s="197"/>
      <c r="L88" s="238"/>
    </row>
    <row r="89" spans="1:12" x14ac:dyDescent="0.4">
      <c r="A89" s="92"/>
      <c r="B89" t="s">
        <v>52</v>
      </c>
      <c r="C89" s="197">
        <v>400000</v>
      </c>
      <c r="D89" t="s">
        <v>188</v>
      </c>
      <c r="E89" s="197"/>
      <c r="F89" s="197">
        <f>I85</f>
        <v>624154</v>
      </c>
      <c r="G89" s="271">
        <v>4.5100000000000001E-3</v>
      </c>
      <c r="H89" t="s">
        <v>240</v>
      </c>
      <c r="I89" s="197">
        <f t="shared" si="12"/>
        <v>2814.93</v>
      </c>
      <c r="J89" s="197"/>
      <c r="L89" s="238"/>
    </row>
    <row r="90" spans="1:12" x14ac:dyDescent="0.4">
      <c r="A90" s="92"/>
      <c r="B90" t="s">
        <v>114</v>
      </c>
      <c r="C90" s="197">
        <v>600000</v>
      </c>
      <c r="D90" t="s">
        <v>188</v>
      </c>
      <c r="E90" s="197"/>
      <c r="F90" s="197">
        <f>J85</f>
        <v>117789</v>
      </c>
      <c r="G90" s="271">
        <v>3.7599999999999999E-3</v>
      </c>
      <c r="H90" t="s">
        <v>240</v>
      </c>
      <c r="I90" s="213">
        <f t="shared" si="12"/>
        <v>442.89</v>
      </c>
      <c r="J90" s="197"/>
      <c r="L90" s="238"/>
    </row>
    <row r="91" spans="1:12" ht="15.4" thickBot="1" x14ac:dyDescent="0.45">
      <c r="A91" s="92"/>
      <c r="B91" s="116" t="s">
        <v>736</v>
      </c>
      <c r="C91" s="197"/>
      <c r="D91"/>
      <c r="E91" s="270">
        <f>SUM(E87:E90)</f>
        <v>72</v>
      </c>
      <c r="F91" s="270">
        <f>SUM(F87:F90)</f>
        <v>3196089</v>
      </c>
      <c r="G91"/>
      <c r="H91"/>
      <c r="I91" s="214">
        <f>SUM(I87:I90)</f>
        <v>18404.72</v>
      </c>
      <c r="J91" s="197"/>
      <c r="L91" s="238"/>
    </row>
    <row r="92" spans="1:12" ht="15.4" thickTop="1" x14ac:dyDescent="0.4">
      <c r="A92" s="92"/>
      <c r="L92" s="238"/>
    </row>
    <row r="93" spans="1:12" x14ac:dyDescent="0.4">
      <c r="A93" s="92"/>
      <c r="B93" s="592" t="s">
        <v>338</v>
      </c>
      <c r="L93" s="238"/>
    </row>
    <row r="94" spans="1:12" x14ac:dyDescent="0.4">
      <c r="A94" s="92"/>
      <c r="C94" s="197"/>
      <c r="D94" s="268" t="s">
        <v>187</v>
      </c>
      <c r="E94" s="258" t="s">
        <v>188</v>
      </c>
      <c r="F94" s="199">
        <f>C95</f>
        <v>30000</v>
      </c>
      <c r="G94" s="199">
        <f>C96</f>
        <v>20000</v>
      </c>
      <c r="H94" s="199">
        <f>C97</f>
        <v>50000</v>
      </c>
      <c r="I94" s="199">
        <f>C98</f>
        <v>100000</v>
      </c>
      <c r="L94" s="238"/>
    </row>
    <row r="95" spans="1:12" x14ac:dyDescent="0.4">
      <c r="A95" s="92"/>
      <c r="B95" t="s">
        <v>51</v>
      </c>
      <c r="C95" s="197">
        <v>30000</v>
      </c>
      <c r="D95" s="197">
        <v>2</v>
      </c>
      <c r="E95" s="197">
        <v>17069</v>
      </c>
      <c r="F95" s="197">
        <f>E95</f>
        <v>17069</v>
      </c>
      <c r="G95" s="197"/>
      <c r="H95" s="197"/>
      <c r="I95" s="197"/>
      <c r="L95" s="238"/>
    </row>
    <row r="96" spans="1:12" x14ac:dyDescent="0.4">
      <c r="A96" s="92"/>
      <c r="B96" t="s">
        <v>52</v>
      </c>
      <c r="C96" s="197">
        <v>20000</v>
      </c>
      <c r="D96" s="197">
        <v>2</v>
      </c>
      <c r="E96" s="197">
        <v>75910</v>
      </c>
      <c r="F96" s="197">
        <f>D96*F94</f>
        <v>60000</v>
      </c>
      <c r="G96" s="197">
        <f>E96-F96</f>
        <v>15910</v>
      </c>
      <c r="H96" s="197"/>
      <c r="I96" s="197"/>
      <c r="L96" s="238"/>
    </row>
    <row r="97" spans="1:12" x14ac:dyDescent="0.4">
      <c r="A97" s="92"/>
      <c r="B97" t="s">
        <v>52</v>
      </c>
      <c r="C97" s="197">
        <v>50000</v>
      </c>
      <c r="D97" s="197">
        <v>3</v>
      </c>
      <c r="E97" s="197">
        <v>192561</v>
      </c>
      <c r="F97" s="197">
        <f>D97*F94</f>
        <v>90000</v>
      </c>
      <c r="G97" s="197">
        <f>D97*G94</f>
        <v>60000</v>
      </c>
      <c r="H97" s="197">
        <f>E97-F97-G97</f>
        <v>42561</v>
      </c>
      <c r="I97" s="197"/>
      <c r="L97" s="238"/>
    </row>
    <row r="98" spans="1:12" x14ac:dyDescent="0.4">
      <c r="A98" s="92"/>
      <c r="B98" t="s">
        <v>114</v>
      </c>
      <c r="C98" s="197">
        <v>100000</v>
      </c>
      <c r="D98" s="197">
        <v>5</v>
      </c>
      <c r="E98" s="197">
        <v>678619</v>
      </c>
      <c r="F98" s="197">
        <f>D98*F94</f>
        <v>150000</v>
      </c>
      <c r="G98" s="197">
        <f>G94*D98</f>
        <v>100000</v>
      </c>
      <c r="H98" s="197">
        <f>H94*D98</f>
        <v>250000</v>
      </c>
      <c r="I98" s="197">
        <f>E98-F98-G98-H98</f>
        <v>178619</v>
      </c>
      <c r="L98" s="238"/>
    </row>
    <row r="99" spans="1:12" ht="15.4" thickBot="1" x14ac:dyDescent="0.45">
      <c r="A99" s="92"/>
      <c r="C99" s="197"/>
      <c r="D99" s="270">
        <f t="shared" ref="D99:I99" si="13">SUM(D95:D98)</f>
        <v>12</v>
      </c>
      <c r="E99" s="270">
        <f t="shared" si="13"/>
        <v>964159</v>
      </c>
      <c r="F99" s="270">
        <f t="shared" si="13"/>
        <v>317069</v>
      </c>
      <c r="G99" s="270">
        <f t="shared" si="13"/>
        <v>175910</v>
      </c>
      <c r="H99" s="270">
        <f t="shared" si="13"/>
        <v>292561</v>
      </c>
      <c r="I99" s="270">
        <f t="shared" si="13"/>
        <v>178619</v>
      </c>
      <c r="L99" s="238"/>
    </row>
    <row r="100" spans="1:12" ht="15.4" thickTop="1" x14ac:dyDescent="0.4">
      <c r="A100" s="92"/>
      <c r="C100" s="197"/>
      <c r="D100" s="197"/>
      <c r="E100" s="197"/>
      <c r="F100"/>
      <c r="G100"/>
      <c r="H100"/>
      <c r="I100"/>
      <c r="L100" s="238"/>
    </row>
    <row r="101" spans="1:12" x14ac:dyDescent="0.4">
      <c r="A101" s="92"/>
      <c r="C101" s="197"/>
      <c r="D101"/>
      <c r="E101" s="197"/>
      <c r="F101" s="197"/>
      <c r="G101" s="197"/>
      <c r="H101" s="197"/>
      <c r="I101" s="197"/>
      <c r="L101" s="238"/>
    </row>
    <row r="102" spans="1:12" x14ac:dyDescent="0.4">
      <c r="A102" s="92"/>
      <c r="B102" t="s">
        <v>51</v>
      </c>
      <c r="C102" s="197">
        <f>C95</f>
        <v>30000</v>
      </c>
      <c r="D102" t="s">
        <v>188</v>
      </c>
      <c r="E102" s="197">
        <f>D99</f>
        <v>12</v>
      </c>
      <c r="F102" s="197">
        <f>F99</f>
        <v>317069</v>
      </c>
      <c r="G102" s="244">
        <v>227.81</v>
      </c>
      <c r="H102" t="s">
        <v>241</v>
      </c>
      <c r="I102" s="138">
        <f>ROUND(E102*G102,2)</f>
        <v>2733.72</v>
      </c>
      <c r="L102" s="238"/>
    </row>
    <row r="103" spans="1:12" x14ac:dyDescent="0.4">
      <c r="A103" s="92"/>
      <c r="B103" t="s">
        <v>52</v>
      </c>
      <c r="C103" s="197">
        <f t="shared" ref="C103:C105" si="14">C96</f>
        <v>20000</v>
      </c>
      <c r="D103" t="s">
        <v>188</v>
      </c>
      <c r="E103" s="197"/>
      <c r="F103" s="197">
        <f>G99</f>
        <v>175910</v>
      </c>
      <c r="G103" s="271">
        <v>5.2399999999999999E-3</v>
      </c>
      <c r="H103" t="s">
        <v>240</v>
      </c>
      <c r="I103" s="138">
        <f t="shared" ref="I103:I105" si="15">ROUND(F103*G103,2)</f>
        <v>921.77</v>
      </c>
      <c r="L103" s="238"/>
    </row>
    <row r="104" spans="1:12" x14ac:dyDescent="0.4">
      <c r="A104" s="92"/>
      <c r="B104" t="s">
        <v>52</v>
      </c>
      <c r="C104" s="197">
        <f t="shared" si="14"/>
        <v>50000</v>
      </c>
      <c r="D104" t="s">
        <v>188</v>
      </c>
      <c r="E104" s="197"/>
      <c r="F104" s="197">
        <f>H99</f>
        <v>292561</v>
      </c>
      <c r="G104" s="271">
        <v>4.5100000000000001E-3</v>
      </c>
      <c r="H104" t="s">
        <v>240</v>
      </c>
      <c r="I104" s="138">
        <f t="shared" si="15"/>
        <v>1319.45</v>
      </c>
      <c r="L104" s="238"/>
    </row>
    <row r="105" spans="1:12" x14ac:dyDescent="0.4">
      <c r="A105" s="92"/>
      <c r="B105" t="s">
        <v>114</v>
      </c>
      <c r="C105" s="197">
        <f t="shared" si="14"/>
        <v>100000</v>
      </c>
      <c r="D105" t="s">
        <v>188</v>
      </c>
      <c r="E105" s="197"/>
      <c r="F105" s="197">
        <f>I99</f>
        <v>178619</v>
      </c>
      <c r="G105" s="271">
        <v>3.7599999999999999E-3</v>
      </c>
      <c r="H105" t="s">
        <v>240</v>
      </c>
      <c r="I105" s="213">
        <f t="shared" si="15"/>
        <v>671.61</v>
      </c>
      <c r="L105" s="238"/>
    </row>
    <row r="106" spans="1:12" ht="15.4" thickBot="1" x14ac:dyDescent="0.45">
      <c r="A106" s="92"/>
      <c r="B106" s="116" t="s">
        <v>737</v>
      </c>
      <c r="C106" s="197"/>
      <c r="D106"/>
      <c r="E106" s="270">
        <f>SUM(E102:E105)</f>
        <v>12</v>
      </c>
      <c r="F106" s="270">
        <f>SUM(F102:F105)</f>
        <v>964159</v>
      </c>
      <c r="G106"/>
      <c r="H106"/>
      <c r="I106" s="214">
        <f>SUM(I102:I105)</f>
        <v>5646.5499999999993</v>
      </c>
      <c r="L106" s="238"/>
    </row>
    <row r="107" spans="1:12" ht="15.4" thickTop="1" x14ac:dyDescent="0.4">
      <c r="A107" s="92"/>
      <c r="L107" s="238"/>
    </row>
    <row r="108" spans="1:12" x14ac:dyDescent="0.4">
      <c r="A108" s="92"/>
      <c r="B108" s="592" t="s">
        <v>339</v>
      </c>
      <c r="L108" s="238"/>
    </row>
    <row r="109" spans="1:12" x14ac:dyDescent="0.4">
      <c r="A109" s="92"/>
      <c r="C109" s="197"/>
      <c r="D109" s="268" t="s">
        <v>187</v>
      </c>
      <c r="E109" s="258" t="s">
        <v>188</v>
      </c>
      <c r="F109" s="199">
        <f>C110</f>
        <v>60000</v>
      </c>
      <c r="G109" s="199">
        <f>C111</f>
        <v>40000</v>
      </c>
      <c r="H109" s="199">
        <f>C112</f>
        <v>100000</v>
      </c>
      <c r="I109" s="199" t="s">
        <v>32</v>
      </c>
      <c r="L109" s="238"/>
    </row>
    <row r="110" spans="1:12" x14ac:dyDescent="0.4">
      <c r="A110" s="92"/>
      <c r="B110" t="s">
        <v>51</v>
      </c>
      <c r="C110" s="197">
        <v>60000</v>
      </c>
      <c r="D110" s="197">
        <v>34</v>
      </c>
      <c r="E110" s="197">
        <v>599082</v>
      </c>
      <c r="F110" s="197">
        <f>E110</f>
        <v>599082</v>
      </c>
      <c r="G110" s="197"/>
      <c r="H110" s="197"/>
      <c r="I110" s="197">
        <f>SUM(F110:H110)</f>
        <v>599082</v>
      </c>
      <c r="L110" s="238"/>
    </row>
    <row r="111" spans="1:12" x14ac:dyDescent="0.4">
      <c r="A111" s="92"/>
      <c r="B111" t="s">
        <v>52</v>
      </c>
      <c r="C111" s="197">
        <v>40000</v>
      </c>
      <c r="D111" s="197">
        <v>9</v>
      </c>
      <c r="E111" s="197">
        <v>697358</v>
      </c>
      <c r="F111" s="197">
        <f>D111*F109</f>
        <v>540000</v>
      </c>
      <c r="G111" s="197">
        <f>E111-F111</f>
        <v>157358</v>
      </c>
      <c r="H111" s="197"/>
      <c r="I111" s="197">
        <f t="shared" ref="I111:I112" si="16">SUM(F111:H111)</f>
        <v>697358</v>
      </c>
      <c r="L111" s="238"/>
    </row>
    <row r="112" spans="1:12" x14ac:dyDescent="0.4">
      <c r="A112" s="92"/>
      <c r="B112" t="s">
        <v>114</v>
      </c>
      <c r="C112" s="197">
        <f>SUM(C110:C111)</f>
        <v>100000</v>
      </c>
      <c r="D112" s="197">
        <v>5</v>
      </c>
      <c r="E112" s="197">
        <v>619573</v>
      </c>
      <c r="F112" s="197">
        <f>D112*F109</f>
        <v>300000</v>
      </c>
      <c r="G112" s="197">
        <f>G109*D112</f>
        <v>200000</v>
      </c>
      <c r="H112" s="197">
        <f>E112-F112-G112</f>
        <v>119573</v>
      </c>
      <c r="I112" s="197">
        <f t="shared" si="16"/>
        <v>619573</v>
      </c>
      <c r="L112" s="238"/>
    </row>
    <row r="113" spans="1:15" ht="15.4" thickBot="1" x14ac:dyDescent="0.45">
      <c r="A113" s="92"/>
      <c r="C113" s="197"/>
      <c r="D113" s="270">
        <f t="shared" ref="D113:I113" si="17">SUM(D110:D112)</f>
        <v>48</v>
      </c>
      <c r="E113" s="270">
        <f t="shared" si="17"/>
        <v>1916013</v>
      </c>
      <c r="F113" s="270">
        <f t="shared" si="17"/>
        <v>1439082</v>
      </c>
      <c r="G113" s="270">
        <f t="shared" si="17"/>
        <v>357358</v>
      </c>
      <c r="H113" s="270">
        <f t="shared" si="17"/>
        <v>119573</v>
      </c>
      <c r="I113" s="270">
        <f t="shared" si="17"/>
        <v>1916013</v>
      </c>
      <c r="L113" s="238"/>
    </row>
    <row r="114" spans="1:15" ht="15.4" thickTop="1" x14ac:dyDescent="0.4">
      <c r="A114" s="92"/>
      <c r="C114" s="197"/>
      <c r="D114" s="197"/>
      <c r="E114" s="197"/>
      <c r="F114"/>
      <c r="G114"/>
      <c r="H114"/>
      <c r="I114"/>
      <c r="L114" s="238"/>
    </row>
    <row r="115" spans="1:15" x14ac:dyDescent="0.4">
      <c r="A115" s="92"/>
      <c r="C115" s="197"/>
      <c r="D115"/>
      <c r="E115" s="197"/>
      <c r="F115" s="197"/>
      <c r="G115" s="197"/>
      <c r="H115" s="197"/>
      <c r="I115" s="197"/>
      <c r="L115" s="238"/>
    </row>
    <row r="116" spans="1:15" x14ac:dyDescent="0.4">
      <c r="A116" s="92"/>
      <c r="B116" t="s">
        <v>51</v>
      </c>
      <c r="C116" s="197">
        <v>60000</v>
      </c>
      <c r="D116" t="s">
        <v>188</v>
      </c>
      <c r="E116" s="197">
        <f>D113</f>
        <v>48</v>
      </c>
      <c r="F116" s="197">
        <f>F113</f>
        <v>1439082</v>
      </c>
      <c r="G116" s="244">
        <v>397.91</v>
      </c>
      <c r="H116" t="s">
        <v>241</v>
      </c>
      <c r="I116" s="138">
        <f>ROUND(E116*G116,2)</f>
        <v>19099.68</v>
      </c>
      <c r="L116" s="238"/>
    </row>
    <row r="117" spans="1:15" x14ac:dyDescent="0.4">
      <c r="A117" s="92"/>
      <c r="B117" t="s">
        <v>52</v>
      </c>
      <c r="C117" s="197">
        <v>40000</v>
      </c>
      <c r="D117" t="s">
        <v>188</v>
      </c>
      <c r="E117" s="197"/>
      <c r="F117" s="197">
        <f>G113</f>
        <v>357358</v>
      </c>
      <c r="G117" s="271">
        <v>4.5100000000000001E-3</v>
      </c>
      <c r="H117" t="s">
        <v>240</v>
      </c>
      <c r="I117" s="138">
        <f t="shared" ref="I117:I118" si="18">ROUND(F117*G117,2)</f>
        <v>1611.68</v>
      </c>
      <c r="L117" s="238"/>
    </row>
    <row r="118" spans="1:15" x14ac:dyDescent="0.4">
      <c r="A118" s="92"/>
      <c r="B118" t="s">
        <v>114</v>
      </c>
      <c r="C118" s="197">
        <f>SUM(C116:C117)</f>
        <v>100000</v>
      </c>
      <c r="D118" t="s">
        <v>188</v>
      </c>
      <c r="E118" s="197"/>
      <c r="F118" s="197">
        <f>H113</f>
        <v>119573</v>
      </c>
      <c r="G118" s="271">
        <v>3.7599999999999999E-3</v>
      </c>
      <c r="H118" t="s">
        <v>240</v>
      </c>
      <c r="I118" s="213">
        <f t="shared" si="18"/>
        <v>449.59</v>
      </c>
      <c r="L118" s="238"/>
    </row>
    <row r="119" spans="1:15" ht="15.4" thickBot="1" x14ac:dyDescent="0.45">
      <c r="A119" s="92"/>
      <c r="B119" s="116" t="s">
        <v>738</v>
      </c>
      <c r="C119" s="197"/>
      <c r="D119"/>
      <c r="E119" s="270">
        <f>SUM(E116:E118)</f>
        <v>48</v>
      </c>
      <c r="F119" s="270">
        <f>SUM(F116:F118)</f>
        <v>1916013</v>
      </c>
      <c r="G119" s="271"/>
      <c r="H119"/>
      <c r="I119" s="138">
        <f>SUM(I116:I118)</f>
        <v>21160.95</v>
      </c>
      <c r="L119" s="238"/>
    </row>
    <row r="120" spans="1:15" ht="15.4" thickTop="1" x14ac:dyDescent="0.4">
      <c r="A120" s="92"/>
      <c r="L120" s="238"/>
    </row>
    <row r="121" spans="1:15" x14ac:dyDescent="0.4">
      <c r="A121" s="92"/>
      <c r="B121" s="592" t="s">
        <v>355</v>
      </c>
      <c r="L121" s="238"/>
    </row>
    <row r="122" spans="1:15" ht="15.75" x14ac:dyDescent="0.5">
      <c r="A122" s="92"/>
      <c r="B122" s="272" t="s">
        <v>352</v>
      </c>
      <c r="C122" s="273"/>
      <c r="D122" s="272"/>
      <c r="E122" s="273"/>
      <c r="F122" s="273"/>
      <c r="G122" s="273"/>
      <c r="H122" s="273"/>
      <c r="I122" s="273"/>
      <c r="L122" s="238"/>
    </row>
    <row r="123" spans="1:15" ht="15.75" x14ac:dyDescent="0.5">
      <c r="A123" s="92"/>
      <c r="B123" s="272"/>
      <c r="C123" s="273"/>
      <c r="D123" s="272"/>
      <c r="E123" s="273">
        <v>12</v>
      </c>
      <c r="F123" s="273"/>
      <c r="G123" s="274">
        <f>CurRates!G58</f>
        <v>68.05</v>
      </c>
      <c r="H123" s="272" t="s">
        <v>241</v>
      </c>
      <c r="I123" s="275">
        <f>ROUND(E123*G123,2)</f>
        <v>816.6</v>
      </c>
      <c r="L123" s="238"/>
      <c r="M123">
        <v>68.05</v>
      </c>
      <c r="N123" t="s">
        <v>241</v>
      </c>
      <c r="O123">
        <v>816.6</v>
      </c>
    </row>
    <row r="124" spans="1:15" ht="16.149999999999999" thickBot="1" x14ac:dyDescent="0.55000000000000004">
      <c r="A124" s="92"/>
      <c r="B124" s="272" t="s">
        <v>739</v>
      </c>
      <c r="C124" s="273"/>
      <c r="D124" s="272"/>
      <c r="E124" s="273">
        <f>SUM(E123:E123)</f>
        <v>12</v>
      </c>
      <c r="F124" s="273"/>
      <c r="G124" s="272"/>
      <c r="H124" s="272"/>
      <c r="I124" s="214">
        <f>SUM(I123:I123)</f>
        <v>816.6</v>
      </c>
      <c r="L124" s="238"/>
      <c r="O124">
        <v>816.6</v>
      </c>
    </row>
    <row r="125" spans="1:15" ht="15.4" thickTop="1" x14ac:dyDescent="0.4">
      <c r="A125" s="92"/>
      <c r="L125" s="238"/>
    </row>
    <row r="126" spans="1:15" x14ac:dyDescent="0.4">
      <c r="A126" s="92"/>
      <c r="B126" s="592" t="s">
        <v>356</v>
      </c>
      <c r="L126" s="238"/>
    </row>
    <row r="127" spans="1:15" ht="15.75" x14ac:dyDescent="0.5">
      <c r="A127" s="92"/>
      <c r="B127" s="272" t="s">
        <v>352</v>
      </c>
      <c r="C127" s="273"/>
      <c r="D127" s="272"/>
      <c r="E127" s="273"/>
      <c r="F127" s="273"/>
      <c r="G127" s="273"/>
      <c r="H127" s="273"/>
      <c r="I127" s="273"/>
      <c r="L127" s="238"/>
    </row>
    <row r="128" spans="1:15" ht="15.75" x14ac:dyDescent="0.5">
      <c r="A128" s="92"/>
      <c r="B128" s="272"/>
      <c r="C128" s="273"/>
      <c r="D128" s="272"/>
      <c r="E128" s="273">
        <v>12</v>
      </c>
      <c r="F128" s="273"/>
      <c r="G128" s="274">
        <f>CurRates!G59</f>
        <v>147.91999999999999</v>
      </c>
      <c r="H128" s="272" t="s">
        <v>241</v>
      </c>
      <c r="I128" s="275">
        <f>ROUND(E128*G128,2)</f>
        <v>1775.04</v>
      </c>
      <c r="L128" s="238"/>
      <c r="M128">
        <v>147.91999999999999</v>
      </c>
      <c r="N128" t="s">
        <v>241</v>
      </c>
      <c r="O128">
        <v>1775.04</v>
      </c>
    </row>
    <row r="129" spans="1:15" ht="16.149999999999999" thickBot="1" x14ac:dyDescent="0.55000000000000004">
      <c r="A129" s="92"/>
      <c r="B129" s="272" t="s">
        <v>353</v>
      </c>
      <c r="C129" s="272"/>
      <c r="D129" s="272"/>
      <c r="E129" s="272"/>
      <c r="F129" s="272"/>
      <c r="G129" s="272"/>
      <c r="H129" s="272"/>
      <c r="I129" s="276">
        <f>SUM(I128)</f>
        <v>1775.04</v>
      </c>
      <c r="L129" s="238"/>
      <c r="O129">
        <v>1775.04</v>
      </c>
    </row>
    <row r="130" spans="1:15" ht="15.75" thickTop="1" x14ac:dyDescent="0.45">
      <c r="A130" s="92"/>
      <c r="B130" s="1"/>
      <c r="C130" s="1"/>
      <c r="D130" s="1"/>
      <c r="E130" s="1"/>
      <c r="F130" s="1"/>
      <c r="G130" s="1"/>
      <c r="H130" s="1"/>
      <c r="I130" s="1"/>
      <c r="L130" s="238"/>
    </row>
    <row r="131" spans="1:15" x14ac:dyDescent="0.4">
      <c r="A131" s="92"/>
      <c r="B131" s="592" t="s">
        <v>351</v>
      </c>
      <c r="L131" s="238"/>
    </row>
    <row r="132" spans="1:15" ht="15.75" x14ac:dyDescent="0.5">
      <c r="A132" s="92"/>
      <c r="B132" s="272" t="s">
        <v>352</v>
      </c>
      <c r="C132" s="273"/>
      <c r="D132" s="272"/>
      <c r="E132" s="273"/>
      <c r="F132" s="273"/>
      <c r="G132" s="273"/>
      <c r="H132" s="273"/>
      <c r="I132" s="273"/>
      <c r="L132" s="238"/>
    </row>
    <row r="133" spans="1:15" ht="15.75" x14ac:dyDescent="0.5">
      <c r="A133" s="92"/>
      <c r="B133" s="272"/>
      <c r="C133" s="273"/>
      <c r="D133" s="272"/>
      <c r="E133" s="273">
        <v>12</v>
      </c>
      <c r="F133" s="273"/>
      <c r="G133" s="274">
        <f>CurRates!G60</f>
        <v>340.77</v>
      </c>
      <c r="H133" s="272" t="s">
        <v>241</v>
      </c>
      <c r="I133" s="275">
        <f>ROUND(E133*G133,2)</f>
        <v>4089.24</v>
      </c>
      <c r="L133" s="238"/>
      <c r="M133">
        <v>340.77</v>
      </c>
      <c r="N133" t="s">
        <v>241</v>
      </c>
      <c r="O133">
        <v>4089.24</v>
      </c>
    </row>
    <row r="134" spans="1:15" ht="16.149999999999999" thickBot="1" x14ac:dyDescent="0.55000000000000004">
      <c r="A134" s="92"/>
      <c r="B134" s="272" t="s">
        <v>353</v>
      </c>
      <c r="C134" s="272"/>
      <c r="D134" s="272"/>
      <c r="E134" s="272"/>
      <c r="F134" s="272"/>
      <c r="G134" s="272"/>
      <c r="H134" s="272"/>
      <c r="I134" s="276">
        <f>SUM(I133)</f>
        <v>4089.24</v>
      </c>
      <c r="L134" s="238"/>
      <c r="O134">
        <v>4089.24</v>
      </c>
    </row>
    <row r="135" spans="1:15" ht="15.4" thickTop="1" x14ac:dyDescent="0.4">
      <c r="A135" s="248"/>
      <c r="B135" s="136"/>
      <c r="C135" s="136"/>
      <c r="D135" s="213"/>
      <c r="E135" s="213"/>
      <c r="F135" s="213"/>
      <c r="G135" s="213"/>
      <c r="H135" s="213"/>
      <c r="I135" s="213"/>
      <c r="J135" s="213"/>
      <c r="K135" s="213"/>
      <c r="L135" s="249"/>
    </row>
  </sheetData>
  <mergeCells count="4">
    <mergeCell ref="B77:K77"/>
    <mergeCell ref="M5:N5"/>
    <mergeCell ref="B2:K2"/>
    <mergeCell ref="D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AE07-86AA-4EA6-9BD6-66C90134FF59}">
  <dimension ref="A1:O135"/>
  <sheetViews>
    <sheetView showGridLines="0" topLeftCell="A64" workbookViewId="0">
      <selection activeCell="A77" sqref="A77:L135"/>
    </sheetView>
  </sheetViews>
  <sheetFormatPr defaultColWidth="14.77734375" defaultRowHeight="15" x14ac:dyDescent="0.4"/>
  <cols>
    <col min="1" max="1" width="1.77734375" customWidth="1"/>
    <col min="2" max="3" width="10.77734375" customWidth="1"/>
    <col min="4" max="11" width="14.77734375" style="138"/>
    <col min="12" max="12" width="1.77734375" customWidth="1"/>
  </cols>
  <sheetData>
    <row r="1" spans="1:15" x14ac:dyDescent="0.4">
      <c r="A1" s="246"/>
      <c r="B1" s="254"/>
      <c r="C1" s="254"/>
      <c r="D1" s="269"/>
      <c r="E1" s="269"/>
      <c r="F1" s="269"/>
      <c r="G1" s="269"/>
      <c r="H1" s="269"/>
      <c r="I1" s="269"/>
      <c r="J1" s="269"/>
      <c r="K1" s="269"/>
      <c r="L1" s="247"/>
    </row>
    <row r="2" spans="1:15" x14ac:dyDescent="0.4">
      <c r="A2" s="92"/>
      <c r="B2" s="656" t="s">
        <v>740</v>
      </c>
      <c r="C2" s="656"/>
      <c r="D2" s="656"/>
      <c r="E2" s="656"/>
      <c r="F2" s="656"/>
      <c r="G2" s="656"/>
      <c r="H2" s="656"/>
      <c r="I2" s="656"/>
      <c r="J2" s="656"/>
      <c r="K2" s="656"/>
      <c r="L2" s="238"/>
    </row>
    <row r="3" spans="1:15" x14ac:dyDescent="0.4">
      <c r="A3" s="92"/>
      <c r="L3" s="238"/>
    </row>
    <row r="4" spans="1:15" x14ac:dyDescent="0.4">
      <c r="A4" s="92"/>
      <c r="D4" s="657" t="s">
        <v>732</v>
      </c>
      <c r="E4" s="657"/>
      <c r="F4" s="657"/>
      <c r="G4" s="657"/>
      <c r="H4" s="657"/>
      <c r="I4" s="657"/>
      <c r="L4" s="238"/>
    </row>
    <row r="5" spans="1:15" x14ac:dyDescent="0.4">
      <c r="A5" s="92"/>
      <c r="D5"/>
      <c r="E5"/>
      <c r="H5" s="258" t="s">
        <v>188</v>
      </c>
      <c r="I5" s="258" t="s">
        <v>473</v>
      </c>
      <c r="L5" s="238"/>
      <c r="M5" s="655" t="s">
        <v>474</v>
      </c>
      <c r="N5" s="655"/>
    </row>
    <row r="6" spans="1:15" x14ac:dyDescent="0.4">
      <c r="A6" s="92"/>
      <c r="D6" t="s">
        <v>333</v>
      </c>
      <c r="E6"/>
      <c r="H6" s="197">
        <f>F45</f>
        <v>237807129</v>
      </c>
      <c r="I6" s="138">
        <f>I45</f>
        <v>2343313.3499999996</v>
      </c>
      <c r="L6" s="238"/>
      <c r="M6" s="258" t="s">
        <v>188</v>
      </c>
      <c r="N6" s="268" t="s">
        <v>475</v>
      </c>
      <c r="O6" s="268" t="s">
        <v>476</v>
      </c>
    </row>
    <row r="7" spans="1:15" x14ac:dyDescent="0.4">
      <c r="A7" s="92"/>
      <c r="D7" t="s">
        <v>334</v>
      </c>
      <c r="E7"/>
      <c r="H7" s="197">
        <f>F61</f>
        <v>15646733</v>
      </c>
      <c r="I7" s="138">
        <f>I61</f>
        <v>105072.45000000001</v>
      </c>
      <c r="L7" s="238"/>
      <c r="M7" s="138">
        <v>-628052</v>
      </c>
      <c r="N7" s="138">
        <v>-3199.7504400000007</v>
      </c>
      <c r="O7" s="138">
        <v>-3820.5899999999992</v>
      </c>
    </row>
    <row r="8" spans="1:15" x14ac:dyDescent="0.4">
      <c r="A8" s="92"/>
      <c r="D8" t="s">
        <v>335</v>
      </c>
      <c r="E8"/>
      <c r="H8" s="197">
        <f>F75</f>
        <v>10662391</v>
      </c>
      <c r="I8" s="138">
        <f>I75</f>
        <v>52126.16</v>
      </c>
      <c r="L8" s="238"/>
      <c r="M8" s="138">
        <v>0</v>
      </c>
      <c r="N8" s="138">
        <v>0</v>
      </c>
      <c r="O8" s="138">
        <v>-91.550000000000011</v>
      </c>
    </row>
    <row r="9" spans="1:15" x14ac:dyDescent="0.4">
      <c r="A9" s="92"/>
      <c r="D9" t="s">
        <v>336</v>
      </c>
      <c r="E9"/>
      <c r="H9" s="197">
        <f>F91</f>
        <v>3196089</v>
      </c>
      <c r="I9" s="138">
        <f>I91</f>
        <v>21511.02</v>
      </c>
      <c r="L9" s="238"/>
      <c r="M9" s="138">
        <v>-195241</v>
      </c>
      <c r="N9" s="138">
        <v>-862.31615999999997</v>
      </c>
      <c r="O9" s="138">
        <v>0</v>
      </c>
    </row>
    <row r="10" spans="1:15" x14ac:dyDescent="0.4">
      <c r="A10" s="92"/>
      <c r="D10" t="s">
        <v>338</v>
      </c>
      <c r="E10"/>
      <c r="H10" s="197">
        <f>F106</f>
        <v>964159</v>
      </c>
      <c r="I10" s="138">
        <f>I106</f>
        <v>6600.8700000000008</v>
      </c>
      <c r="L10" s="238"/>
      <c r="M10" s="138">
        <v>0</v>
      </c>
      <c r="N10" s="138">
        <v>0</v>
      </c>
      <c r="O10" s="138">
        <v>0</v>
      </c>
    </row>
    <row r="11" spans="1:15" x14ac:dyDescent="0.4">
      <c r="A11" s="92"/>
      <c r="D11" t="s">
        <v>339</v>
      </c>
      <c r="E11"/>
      <c r="H11" s="277">
        <f>F119</f>
        <v>1916013</v>
      </c>
      <c r="I11" s="213">
        <f>I119</f>
        <v>24754.129999999997</v>
      </c>
      <c r="L11" s="238"/>
      <c r="M11" s="138">
        <v>0</v>
      </c>
      <c r="N11" s="138">
        <v>0</v>
      </c>
      <c r="O11" s="138">
        <v>0</v>
      </c>
    </row>
    <row r="12" spans="1:15" x14ac:dyDescent="0.4">
      <c r="A12" s="92"/>
      <c r="D12" t="s">
        <v>32</v>
      </c>
      <c r="E12"/>
      <c r="H12" s="197">
        <f>SUM(H6:H11)</f>
        <v>270192514</v>
      </c>
      <c r="I12" s="138">
        <f>SUM(I6:I11)</f>
        <v>2553377.98</v>
      </c>
      <c r="L12" s="238"/>
      <c r="M12" s="213">
        <v>0</v>
      </c>
      <c r="N12" s="213">
        <v>0</v>
      </c>
      <c r="O12" s="213">
        <v>0</v>
      </c>
    </row>
    <row r="13" spans="1:15" ht="15.4" thickBot="1" x14ac:dyDescent="0.45">
      <c r="A13" s="92"/>
      <c r="D13" s="116" t="s">
        <v>478</v>
      </c>
      <c r="E13"/>
      <c r="H13" s="277">
        <f>M13</f>
        <v>-823293</v>
      </c>
      <c r="I13" s="213">
        <f>SUM(N13:O13)</f>
        <v>-7974.2065999999995</v>
      </c>
      <c r="L13" s="238"/>
      <c r="M13" s="214">
        <f>SUM(M7:M12)</f>
        <v>-823293</v>
      </c>
      <c r="N13" s="214">
        <f t="shared" ref="N13:O13" si="0">SUM(N7:N12)</f>
        <v>-4062.0666000000006</v>
      </c>
      <c r="O13" s="214">
        <f t="shared" si="0"/>
        <v>-3912.1399999999994</v>
      </c>
    </row>
    <row r="14" spans="1:15" ht="15.75" thickTop="1" thickBot="1" x14ac:dyDescent="0.45">
      <c r="A14" s="92"/>
      <c r="D14" t="s">
        <v>343</v>
      </c>
      <c r="E14"/>
      <c r="H14" s="270">
        <f>SUM(H12:H13)</f>
        <v>269369221</v>
      </c>
      <c r="I14" s="138">
        <f>SUM(I12:I13)</f>
        <v>2545403.7733999998</v>
      </c>
      <c r="L14" s="238"/>
      <c r="M14" s="138"/>
    </row>
    <row r="15" spans="1:15" ht="15.4" thickTop="1" x14ac:dyDescent="0.4">
      <c r="A15" s="92"/>
      <c r="D15" t="s">
        <v>344</v>
      </c>
      <c r="E15"/>
      <c r="I15" s="213">
        <f>-'SAO - DSC'!F9</f>
        <v>-2200475</v>
      </c>
      <c r="L15" s="238"/>
    </row>
    <row r="16" spans="1:15" ht="15.4" thickBot="1" x14ac:dyDescent="0.45">
      <c r="A16" s="92"/>
      <c r="D16" s="116" t="s">
        <v>477</v>
      </c>
      <c r="E16"/>
      <c r="I16" s="214">
        <f>SUM(I14:I15)</f>
        <v>344928.77339999983</v>
      </c>
      <c r="L16" s="238"/>
    </row>
    <row r="17" spans="1:12" ht="15.4" thickTop="1" x14ac:dyDescent="0.4">
      <c r="A17" s="92"/>
      <c r="D17"/>
      <c r="E17"/>
      <c r="L17" s="238"/>
    </row>
    <row r="18" spans="1:12" x14ac:dyDescent="0.4">
      <c r="A18" s="92"/>
      <c r="D18" t="s">
        <v>265</v>
      </c>
      <c r="E18"/>
      <c r="L18" s="238"/>
    </row>
    <row r="19" spans="1:12" x14ac:dyDescent="0.4">
      <c r="A19" s="92"/>
      <c r="D19" t="s">
        <v>357</v>
      </c>
      <c r="E19"/>
      <c r="I19" s="138">
        <f>I124</f>
        <v>955.44</v>
      </c>
      <c r="L19" s="238"/>
    </row>
    <row r="20" spans="1:12" x14ac:dyDescent="0.4">
      <c r="A20" s="92"/>
      <c r="D20" t="s">
        <v>345</v>
      </c>
      <c r="E20"/>
      <c r="I20" s="138">
        <f>I129</f>
        <v>2076.84</v>
      </c>
      <c r="L20" s="238"/>
    </row>
    <row r="21" spans="1:12" x14ac:dyDescent="0.4">
      <c r="A21" s="92"/>
      <c r="D21" t="s">
        <v>346</v>
      </c>
      <c r="E21"/>
      <c r="I21" s="213">
        <f>I134</f>
        <v>4784.3999999999996</v>
      </c>
      <c r="L21" s="238"/>
    </row>
    <row r="22" spans="1:12" x14ac:dyDescent="0.4">
      <c r="A22" s="92"/>
      <c r="D22" t="s">
        <v>32</v>
      </c>
      <c r="E22"/>
      <c r="I22" s="138">
        <f>SUM(I19:I21)</f>
        <v>7816.68</v>
      </c>
      <c r="L22" s="238"/>
    </row>
    <row r="23" spans="1:12" x14ac:dyDescent="0.4">
      <c r="A23" s="92"/>
      <c r="D23" t="s">
        <v>341</v>
      </c>
      <c r="E23"/>
      <c r="I23" s="138">
        <f>I125</f>
        <v>0</v>
      </c>
      <c r="L23" s="238"/>
    </row>
    <row r="24" spans="1:12" x14ac:dyDescent="0.4">
      <c r="A24" s="92"/>
      <c r="D24" t="s">
        <v>342</v>
      </c>
      <c r="E24"/>
      <c r="I24" s="213">
        <v>0</v>
      </c>
      <c r="L24" s="238"/>
    </row>
    <row r="25" spans="1:12" x14ac:dyDescent="0.4">
      <c r="A25" s="92"/>
      <c r="D25" t="s">
        <v>343</v>
      </c>
      <c r="E25"/>
      <c r="I25" s="138">
        <f>SUM(I22:I24)</f>
        <v>7816.68</v>
      </c>
      <c r="L25" s="238"/>
    </row>
    <row r="26" spans="1:12" x14ac:dyDescent="0.4">
      <c r="A26" s="92"/>
      <c r="D26" t="s">
        <v>347</v>
      </c>
      <c r="E26"/>
      <c r="I26" s="213">
        <f>-'BA Existing Rates'!I25</f>
        <v>-6680.8799999999992</v>
      </c>
      <c r="L26" s="238"/>
    </row>
    <row r="27" spans="1:12" ht="15.4" thickBot="1" x14ac:dyDescent="0.45">
      <c r="A27" s="92"/>
      <c r="D27" s="116" t="s">
        <v>477</v>
      </c>
      <c r="E27"/>
      <c r="I27" s="214">
        <f>SUM(I25:I26)</f>
        <v>1135.8000000000011</v>
      </c>
      <c r="L27" s="238"/>
    </row>
    <row r="28" spans="1:12" ht="15.4" thickTop="1" x14ac:dyDescent="0.4">
      <c r="A28" s="92"/>
      <c r="B28" s="116"/>
      <c r="L28" s="238"/>
    </row>
    <row r="29" spans="1:12" x14ac:dyDescent="0.4">
      <c r="A29" s="92"/>
      <c r="B29" s="116"/>
      <c r="L29" s="238"/>
    </row>
    <row r="30" spans="1:12" x14ac:dyDescent="0.4">
      <c r="A30" s="92"/>
      <c r="B30" s="592" t="s">
        <v>333</v>
      </c>
      <c r="L30" s="238"/>
    </row>
    <row r="31" spans="1:12" x14ac:dyDescent="0.4">
      <c r="A31" s="92"/>
      <c r="L31" s="238"/>
    </row>
    <row r="32" spans="1:12" x14ac:dyDescent="0.4">
      <c r="A32" s="92"/>
      <c r="D32" s="268" t="s">
        <v>187</v>
      </c>
      <c r="E32" s="258" t="s">
        <v>188</v>
      </c>
      <c r="F32" s="199">
        <f>C33</f>
        <v>2000</v>
      </c>
      <c r="G32" s="199">
        <f>C34</f>
        <v>4000</v>
      </c>
      <c r="H32" s="199">
        <f>C35</f>
        <v>44000</v>
      </c>
      <c r="I32" s="199">
        <f>C36</f>
        <v>50000</v>
      </c>
      <c r="J32" s="199">
        <f>C37</f>
        <v>100000</v>
      </c>
      <c r="K32" s="268" t="s">
        <v>32</v>
      </c>
      <c r="L32" s="238"/>
    </row>
    <row r="33" spans="1:12" x14ac:dyDescent="0.4">
      <c r="A33" s="92"/>
      <c r="B33" t="s">
        <v>51</v>
      </c>
      <c r="C33" s="197">
        <v>2000</v>
      </c>
      <c r="D33" s="197">
        <v>20595</v>
      </c>
      <c r="E33" s="197">
        <v>17876862</v>
      </c>
      <c r="F33" s="197">
        <f>E33</f>
        <v>17876862</v>
      </c>
      <c r="G33" s="197"/>
      <c r="H33" s="197"/>
      <c r="I33" s="197"/>
      <c r="J33" s="197"/>
      <c r="K33" s="197">
        <f>SUM(F33:J33)</f>
        <v>17876862</v>
      </c>
      <c r="L33" s="238"/>
    </row>
    <row r="34" spans="1:12" x14ac:dyDescent="0.4">
      <c r="A34" s="92"/>
      <c r="B34" t="s">
        <v>52</v>
      </c>
      <c r="C34" s="197">
        <v>4000</v>
      </c>
      <c r="D34" s="197">
        <v>29054</v>
      </c>
      <c r="E34" s="197">
        <v>105196275</v>
      </c>
      <c r="F34" s="197">
        <f>D34*F32</f>
        <v>58108000</v>
      </c>
      <c r="G34" s="197">
        <f>E34-F34</f>
        <v>47088275</v>
      </c>
      <c r="H34" s="197"/>
      <c r="I34" s="197"/>
      <c r="J34" s="197"/>
      <c r="K34" s="197">
        <f t="shared" ref="K34:K37" si="1">SUM(F34:J34)</f>
        <v>105196275</v>
      </c>
      <c r="L34" s="238"/>
    </row>
    <row r="35" spans="1:12" x14ac:dyDescent="0.4">
      <c r="A35" s="92"/>
      <c r="B35" t="s">
        <v>52</v>
      </c>
      <c r="C35" s="197">
        <v>44000</v>
      </c>
      <c r="D35" s="197">
        <v>9538</v>
      </c>
      <c r="E35" s="197">
        <v>99448423</v>
      </c>
      <c r="F35" s="197">
        <f>D35*F32</f>
        <v>19076000</v>
      </c>
      <c r="G35" s="197">
        <f>D35*G32</f>
        <v>38152000</v>
      </c>
      <c r="H35" s="197">
        <f>E35-F35-G35</f>
        <v>42220423</v>
      </c>
      <c r="I35" s="197"/>
      <c r="J35" s="197"/>
      <c r="K35" s="197">
        <f t="shared" si="1"/>
        <v>99448423</v>
      </c>
      <c r="L35" s="238"/>
    </row>
    <row r="36" spans="1:12" x14ac:dyDescent="0.4">
      <c r="A36" s="92"/>
      <c r="B36" t="s">
        <v>52</v>
      </c>
      <c r="C36" s="197">
        <v>50000</v>
      </c>
      <c r="D36" s="197">
        <v>88</v>
      </c>
      <c r="E36" s="197">
        <v>6553607</v>
      </c>
      <c r="F36" s="197">
        <f>D36*F32</f>
        <v>176000</v>
      </c>
      <c r="G36" s="197">
        <f>D36*G32</f>
        <v>352000</v>
      </c>
      <c r="H36" s="197">
        <f>D36*H32</f>
        <v>3872000</v>
      </c>
      <c r="I36" s="197">
        <f>E36-F36-G36-H36</f>
        <v>2153607</v>
      </c>
      <c r="J36" s="197"/>
      <c r="K36" s="197">
        <f t="shared" si="1"/>
        <v>6553607</v>
      </c>
      <c r="L36" s="238"/>
    </row>
    <row r="37" spans="1:12" x14ac:dyDescent="0.4">
      <c r="A37" s="92"/>
      <c r="B37" t="s">
        <v>114</v>
      </c>
      <c r="C37" s="197">
        <f>SUM(C33:C36)</f>
        <v>100000</v>
      </c>
      <c r="D37" s="197">
        <v>64</v>
      </c>
      <c r="E37" s="197">
        <v>8731962</v>
      </c>
      <c r="F37" s="197">
        <f>D37*F32</f>
        <v>128000</v>
      </c>
      <c r="G37" s="197">
        <f>D37*G32</f>
        <v>256000</v>
      </c>
      <c r="H37" s="197">
        <f>H32*D37</f>
        <v>2816000</v>
      </c>
      <c r="I37" s="197">
        <f>I32*D37</f>
        <v>3200000</v>
      </c>
      <c r="J37" s="197">
        <f>E37-F37-G37-H37-I37</f>
        <v>2331962</v>
      </c>
      <c r="K37" s="197">
        <f t="shared" si="1"/>
        <v>8731962</v>
      </c>
      <c r="L37" s="238"/>
    </row>
    <row r="38" spans="1:12" ht="15.4" thickBot="1" x14ac:dyDescent="0.45">
      <c r="A38" s="92"/>
      <c r="D38" s="270">
        <f>SUM(D33:D37)</f>
        <v>59339</v>
      </c>
      <c r="E38" s="270">
        <f t="shared" ref="E38:K38" si="2">SUM(E33:E37)</f>
        <v>237807129</v>
      </c>
      <c r="F38" s="270">
        <f t="shared" si="2"/>
        <v>95364862</v>
      </c>
      <c r="G38" s="270">
        <f t="shared" si="2"/>
        <v>85848275</v>
      </c>
      <c r="H38" s="270">
        <f t="shared" si="2"/>
        <v>48908423</v>
      </c>
      <c r="I38" s="270">
        <f t="shared" si="2"/>
        <v>5353607</v>
      </c>
      <c r="J38" s="270">
        <f t="shared" si="2"/>
        <v>2331962</v>
      </c>
      <c r="K38" s="270">
        <f t="shared" si="2"/>
        <v>237807129</v>
      </c>
      <c r="L38" s="238"/>
    </row>
    <row r="39" spans="1:12" ht="15.4" thickTop="1" x14ac:dyDescent="0.4">
      <c r="A39" s="92"/>
      <c r="D39" s="197"/>
      <c r="E39"/>
      <c r="F39"/>
      <c r="G39"/>
      <c r="I39"/>
      <c r="L39" s="238"/>
    </row>
    <row r="40" spans="1:12" x14ac:dyDescent="0.4">
      <c r="A40" s="92"/>
      <c r="B40" t="s">
        <v>51</v>
      </c>
      <c r="C40" s="197">
        <f>C33</f>
        <v>2000</v>
      </c>
      <c r="D40" t="s">
        <v>188</v>
      </c>
      <c r="E40" s="197">
        <f>D38</f>
        <v>59339</v>
      </c>
      <c r="F40" s="197">
        <f>F38</f>
        <v>95364862</v>
      </c>
      <c r="G40" s="244">
        <f>'Yr 1 Rate Comp'!L11</f>
        <v>23.83</v>
      </c>
      <c r="H40" t="s">
        <v>241</v>
      </c>
      <c r="I40" s="197">
        <f>ROUND(E40*G40,2)</f>
        <v>1414048.37</v>
      </c>
      <c r="L40" s="238"/>
    </row>
    <row r="41" spans="1:12" x14ac:dyDescent="0.4">
      <c r="A41" s="92"/>
      <c r="B41" t="s">
        <v>52</v>
      </c>
      <c r="C41" s="197">
        <f>C34</f>
        <v>4000</v>
      </c>
      <c r="D41" t="s">
        <v>188</v>
      </c>
      <c r="E41" s="197"/>
      <c r="F41" s="197">
        <f>G38</f>
        <v>85848275</v>
      </c>
      <c r="G41" s="271">
        <f>'Yr 1 Rate Comp'!L12</f>
        <v>6.8900000000000003E-3</v>
      </c>
      <c r="H41" t="s">
        <v>240</v>
      </c>
      <c r="I41" s="197">
        <f>ROUND(F41*G41,2)</f>
        <v>591494.61</v>
      </c>
      <c r="L41" s="238"/>
    </row>
    <row r="42" spans="1:12" x14ac:dyDescent="0.4">
      <c r="A42" s="92"/>
      <c r="B42" t="s">
        <v>52</v>
      </c>
      <c r="C42" s="197">
        <f>C35</f>
        <v>44000</v>
      </c>
      <c r="D42" t="s">
        <v>188</v>
      </c>
      <c r="E42" s="197"/>
      <c r="F42" s="197">
        <f>H38</f>
        <v>48908423</v>
      </c>
      <c r="G42" s="271">
        <f>'Yr 1 Rate Comp'!L13</f>
        <v>6.1200000000000004E-3</v>
      </c>
      <c r="H42" t="s">
        <v>240</v>
      </c>
      <c r="I42" s="197">
        <f t="shared" ref="I42:I44" si="3">ROUND(F42*G42,2)</f>
        <v>299319.55</v>
      </c>
      <c r="L42" s="238"/>
    </row>
    <row r="43" spans="1:12" x14ac:dyDescent="0.4">
      <c r="A43" s="92"/>
      <c r="B43" t="s">
        <v>52</v>
      </c>
      <c r="C43" s="197">
        <f>C36</f>
        <v>50000</v>
      </c>
      <c r="D43" t="s">
        <v>188</v>
      </c>
      <c r="E43" s="197"/>
      <c r="F43" s="197">
        <f>I38</f>
        <v>5353607</v>
      </c>
      <c r="G43" s="271">
        <f>'Yr 1 Rate Comp'!L14</f>
        <v>5.2700000000000004E-3</v>
      </c>
      <c r="H43" t="s">
        <v>240</v>
      </c>
      <c r="I43" s="197">
        <f t="shared" si="3"/>
        <v>28213.51</v>
      </c>
      <c r="L43" s="238"/>
    </row>
    <row r="44" spans="1:12" x14ac:dyDescent="0.4">
      <c r="A44" s="92"/>
      <c r="B44" t="s">
        <v>114</v>
      </c>
      <c r="C44" s="197">
        <f>C37</f>
        <v>100000</v>
      </c>
      <c r="D44" t="s">
        <v>188</v>
      </c>
      <c r="E44" s="197"/>
      <c r="F44" s="197">
        <f>J38</f>
        <v>2331962</v>
      </c>
      <c r="G44" s="271">
        <f>'Yr 1 Rate Comp'!L15</f>
        <v>4.3900000000000007E-3</v>
      </c>
      <c r="H44" t="s">
        <v>240</v>
      </c>
      <c r="I44" s="138">
        <f t="shared" si="3"/>
        <v>10237.31</v>
      </c>
      <c r="L44" s="238"/>
    </row>
    <row r="45" spans="1:12" ht="15.4" thickBot="1" x14ac:dyDescent="0.45">
      <c r="A45" s="92"/>
      <c r="B45" t="s">
        <v>348</v>
      </c>
      <c r="D45"/>
      <c r="E45" s="270">
        <f>SUM(E40:E44)</f>
        <v>59339</v>
      </c>
      <c r="F45" s="270">
        <f>SUM(F40:F44)</f>
        <v>237807129</v>
      </c>
      <c r="G45"/>
      <c r="H45"/>
      <c r="I45" s="214">
        <f>SUM(I40:I44)</f>
        <v>2343313.3499999996</v>
      </c>
      <c r="L45" s="238"/>
    </row>
    <row r="46" spans="1:12" ht="15.4" thickTop="1" x14ac:dyDescent="0.4">
      <c r="A46" s="92"/>
      <c r="L46" s="238"/>
    </row>
    <row r="47" spans="1:12" x14ac:dyDescent="0.4">
      <c r="A47" s="92"/>
      <c r="B47" s="592" t="s">
        <v>349</v>
      </c>
      <c r="L47" s="238"/>
    </row>
    <row r="48" spans="1:12" x14ac:dyDescent="0.4">
      <c r="A48" s="92"/>
      <c r="C48" s="197"/>
      <c r="D48" s="268" t="s">
        <v>187</v>
      </c>
      <c r="E48" s="258" t="s">
        <v>188</v>
      </c>
      <c r="F48" s="199">
        <f>C49</f>
        <v>5000</v>
      </c>
      <c r="G48" s="199">
        <f>C50</f>
        <v>1000</v>
      </c>
      <c r="H48" s="199">
        <f>C51</f>
        <v>44000</v>
      </c>
      <c r="I48" s="199">
        <f>C52</f>
        <v>50000</v>
      </c>
      <c r="J48" s="199">
        <f>C53</f>
        <v>100000</v>
      </c>
      <c r="K48" s="268" t="s">
        <v>32</v>
      </c>
      <c r="L48" s="238"/>
    </row>
    <row r="49" spans="1:12" x14ac:dyDescent="0.4">
      <c r="A49" s="92"/>
      <c r="B49" t="s">
        <v>51</v>
      </c>
      <c r="C49" s="197">
        <v>5000</v>
      </c>
      <c r="D49" s="197">
        <v>341</v>
      </c>
      <c r="E49" s="197">
        <v>790645</v>
      </c>
      <c r="F49" s="197">
        <f>E49</f>
        <v>790645</v>
      </c>
      <c r="G49" s="197"/>
      <c r="H49" s="197"/>
      <c r="I49" s="197"/>
      <c r="J49" s="197"/>
      <c r="K49" s="197">
        <f>SUM(F49:J49)</f>
        <v>790645</v>
      </c>
      <c r="L49" s="238"/>
    </row>
    <row r="50" spans="1:12" x14ac:dyDescent="0.4">
      <c r="A50" s="92"/>
      <c r="B50" t="s">
        <v>52</v>
      </c>
      <c r="C50" s="197">
        <v>1000</v>
      </c>
      <c r="D50" s="197">
        <v>54</v>
      </c>
      <c r="E50" s="197">
        <v>295341</v>
      </c>
      <c r="F50" s="197">
        <f>D50*F48</f>
        <v>270000</v>
      </c>
      <c r="G50" s="197">
        <f>E50-F50</f>
        <v>25341</v>
      </c>
      <c r="H50" s="197"/>
      <c r="I50" s="197"/>
      <c r="J50" s="197"/>
      <c r="K50" s="197">
        <f t="shared" ref="K50:K53" si="4">SUM(F50:J50)</f>
        <v>295341</v>
      </c>
      <c r="L50" s="238"/>
    </row>
    <row r="51" spans="1:12" x14ac:dyDescent="0.4">
      <c r="A51" s="92"/>
      <c r="B51" t="s">
        <v>52</v>
      </c>
      <c r="C51" s="197">
        <v>44000</v>
      </c>
      <c r="D51" s="197">
        <v>248</v>
      </c>
      <c r="E51" s="197">
        <v>3636306</v>
      </c>
      <c r="F51" s="197">
        <f>D51*F48</f>
        <v>1240000</v>
      </c>
      <c r="G51" s="197">
        <f>D51*G48</f>
        <v>248000</v>
      </c>
      <c r="H51" s="197">
        <f>E51-F51-G51</f>
        <v>2148306</v>
      </c>
      <c r="I51" s="197"/>
      <c r="J51" s="197"/>
      <c r="K51" s="197">
        <f t="shared" si="4"/>
        <v>3636306</v>
      </c>
      <c r="L51" s="238"/>
    </row>
    <row r="52" spans="1:12" x14ac:dyDescent="0.4">
      <c r="A52" s="92"/>
      <c r="B52" t="s">
        <v>52</v>
      </c>
      <c r="C52" s="197">
        <v>50000</v>
      </c>
      <c r="D52" s="197">
        <v>54</v>
      </c>
      <c r="E52" s="197">
        <v>3908284</v>
      </c>
      <c r="F52" s="197">
        <f>D52*F48</f>
        <v>270000</v>
      </c>
      <c r="G52" s="197">
        <f>D52*G48</f>
        <v>54000</v>
      </c>
      <c r="H52" s="197">
        <f>D52*H48</f>
        <v>2376000</v>
      </c>
      <c r="I52" s="197">
        <f>E52-F52-G52-H52</f>
        <v>1208284</v>
      </c>
      <c r="J52" s="197"/>
      <c r="K52" s="197">
        <f t="shared" si="4"/>
        <v>3908284</v>
      </c>
      <c r="L52" s="238"/>
    </row>
    <row r="53" spans="1:12" x14ac:dyDescent="0.4">
      <c r="A53" s="92"/>
      <c r="B53" t="s">
        <v>114</v>
      </c>
      <c r="C53" s="197">
        <f>SUM(C49:C52)</f>
        <v>100000</v>
      </c>
      <c r="D53" s="197">
        <v>44</v>
      </c>
      <c r="E53" s="197">
        <v>7016157</v>
      </c>
      <c r="F53" s="197">
        <f>D53*F48</f>
        <v>220000</v>
      </c>
      <c r="G53" s="197">
        <f>D53*G48</f>
        <v>44000</v>
      </c>
      <c r="H53" s="197">
        <f>H48*D53</f>
        <v>1936000</v>
      </c>
      <c r="I53" s="197">
        <f>I48*D53</f>
        <v>2200000</v>
      </c>
      <c r="J53" s="197">
        <f>E53-F53-G53-H53-I53</f>
        <v>2616157</v>
      </c>
      <c r="K53" s="197">
        <f t="shared" si="4"/>
        <v>7016157</v>
      </c>
      <c r="L53" s="238"/>
    </row>
    <row r="54" spans="1:12" ht="15.4" thickBot="1" x14ac:dyDescent="0.45">
      <c r="A54" s="92"/>
      <c r="C54" s="197"/>
      <c r="D54" s="270">
        <f>SUM(D49:D53)</f>
        <v>741</v>
      </c>
      <c r="E54" s="270">
        <f t="shared" ref="E54:K54" si="5">SUM(E49:E53)</f>
        <v>15646733</v>
      </c>
      <c r="F54" s="270">
        <f t="shared" si="5"/>
        <v>2790645</v>
      </c>
      <c r="G54" s="270">
        <f t="shared" si="5"/>
        <v>371341</v>
      </c>
      <c r="H54" s="270">
        <f t="shared" si="5"/>
        <v>6460306</v>
      </c>
      <c r="I54" s="270">
        <f t="shared" si="5"/>
        <v>3408284</v>
      </c>
      <c r="J54" s="270">
        <f t="shared" si="5"/>
        <v>2616157</v>
      </c>
      <c r="K54" s="270">
        <f t="shared" si="5"/>
        <v>15646733</v>
      </c>
      <c r="L54" s="238"/>
    </row>
    <row r="55" spans="1:12" ht="15.4" thickTop="1" x14ac:dyDescent="0.4">
      <c r="A55" s="92"/>
      <c r="C55" s="197"/>
      <c r="E55"/>
      <c r="F55"/>
      <c r="G55"/>
      <c r="I55"/>
      <c r="L55" s="238"/>
    </row>
    <row r="56" spans="1:12" x14ac:dyDescent="0.4">
      <c r="A56" s="92"/>
      <c r="B56" t="s">
        <v>51</v>
      </c>
      <c r="C56" s="197">
        <f>C49</f>
        <v>5000</v>
      </c>
      <c r="D56" t="s">
        <v>188</v>
      </c>
      <c r="E56" s="197">
        <f>D54</f>
        <v>741</v>
      </c>
      <c r="F56" s="197">
        <f>F54</f>
        <v>2790645</v>
      </c>
      <c r="G56" s="244">
        <f>'Yr 1 Rate Comp'!L18</f>
        <v>45.25</v>
      </c>
      <c r="H56" t="s">
        <v>241</v>
      </c>
      <c r="I56" s="138">
        <f>ROUND(E56*G56,2)</f>
        <v>33530.25</v>
      </c>
      <c r="L56" s="238"/>
    </row>
    <row r="57" spans="1:12" x14ac:dyDescent="0.4">
      <c r="A57" s="92"/>
      <c r="B57" t="s">
        <v>52</v>
      </c>
      <c r="C57" s="197">
        <f t="shared" ref="C57:C60" si="6">C50</f>
        <v>1000</v>
      </c>
      <c r="D57" t="s">
        <v>188</v>
      </c>
      <c r="E57" s="197"/>
      <c r="F57" s="197">
        <f>G54</f>
        <v>371341</v>
      </c>
      <c r="G57" s="271">
        <f>'Yr 1 Rate Comp'!L19</f>
        <v>6.8900000000000003E-3</v>
      </c>
      <c r="H57" t="s">
        <v>240</v>
      </c>
      <c r="I57" s="138">
        <f>ROUND(F57*G57,2)</f>
        <v>2558.54</v>
      </c>
      <c r="L57" s="238"/>
    </row>
    <row r="58" spans="1:12" x14ac:dyDescent="0.4">
      <c r="A58" s="92"/>
      <c r="B58" t="s">
        <v>52</v>
      </c>
      <c r="C58" s="197">
        <f t="shared" si="6"/>
        <v>44000</v>
      </c>
      <c r="D58" t="s">
        <v>188</v>
      </c>
      <c r="E58" s="197"/>
      <c r="F58" s="197">
        <f>H54</f>
        <v>6460306</v>
      </c>
      <c r="G58" s="271">
        <f>'Yr 1 Rate Comp'!L20</f>
        <v>6.1200000000000004E-3</v>
      </c>
      <c r="H58" t="s">
        <v>240</v>
      </c>
      <c r="I58" s="138">
        <f t="shared" ref="I58:I60" si="7">ROUND(F58*G58,2)</f>
        <v>39537.07</v>
      </c>
      <c r="L58" s="238"/>
    </row>
    <row r="59" spans="1:12" x14ac:dyDescent="0.4">
      <c r="A59" s="92"/>
      <c r="B59" t="s">
        <v>52</v>
      </c>
      <c r="C59" s="197">
        <f t="shared" si="6"/>
        <v>50000</v>
      </c>
      <c r="D59" t="s">
        <v>188</v>
      </c>
      <c r="E59" s="197"/>
      <c r="F59" s="197">
        <f>I54</f>
        <v>3408284</v>
      </c>
      <c r="G59" s="271">
        <f>'Yr 1 Rate Comp'!L21</f>
        <v>5.2700000000000004E-3</v>
      </c>
      <c r="H59" t="s">
        <v>240</v>
      </c>
      <c r="I59" s="138">
        <f t="shared" si="7"/>
        <v>17961.66</v>
      </c>
      <c r="L59" s="238"/>
    </row>
    <row r="60" spans="1:12" x14ac:dyDescent="0.4">
      <c r="A60" s="92"/>
      <c r="B60" t="s">
        <v>114</v>
      </c>
      <c r="C60" s="197">
        <f t="shared" si="6"/>
        <v>100000</v>
      </c>
      <c r="D60" t="s">
        <v>188</v>
      </c>
      <c r="E60" s="197"/>
      <c r="F60" s="197">
        <f>J54</f>
        <v>2616157</v>
      </c>
      <c r="G60" s="271">
        <f>'Yr 1 Rate Comp'!L22</f>
        <v>4.3900000000000007E-3</v>
      </c>
      <c r="H60" t="s">
        <v>240</v>
      </c>
      <c r="I60" s="138">
        <f t="shared" si="7"/>
        <v>11484.93</v>
      </c>
      <c r="L60" s="238"/>
    </row>
    <row r="61" spans="1:12" ht="15.4" thickBot="1" x14ac:dyDescent="0.45">
      <c r="A61" s="92"/>
      <c r="B61" s="116" t="s">
        <v>735</v>
      </c>
      <c r="C61" s="197"/>
      <c r="D61"/>
      <c r="E61" s="270">
        <f>SUM(E56:E60)</f>
        <v>741</v>
      </c>
      <c r="F61" s="270">
        <f>SUM(F56:F60)</f>
        <v>15646733</v>
      </c>
      <c r="G61"/>
      <c r="H61"/>
      <c r="I61" s="214">
        <f>SUM(I56:I60)</f>
        <v>105072.45000000001</v>
      </c>
      <c r="L61" s="238"/>
    </row>
    <row r="62" spans="1:12" ht="15.4" thickTop="1" x14ac:dyDescent="0.4">
      <c r="A62" s="92"/>
      <c r="L62" s="238"/>
    </row>
    <row r="63" spans="1:12" x14ac:dyDescent="0.4">
      <c r="A63" s="92"/>
      <c r="B63" s="592" t="s">
        <v>350</v>
      </c>
      <c r="L63" s="238"/>
    </row>
    <row r="64" spans="1:12" x14ac:dyDescent="0.4">
      <c r="A64" s="92"/>
      <c r="C64" s="197"/>
      <c r="E64" s="268" t="s">
        <v>187</v>
      </c>
      <c r="F64" s="258" t="s">
        <v>188</v>
      </c>
      <c r="G64" s="199">
        <f>C65</f>
        <v>10000</v>
      </c>
      <c r="H64" s="199">
        <f>C66</f>
        <v>40000</v>
      </c>
      <c r="I64" s="199">
        <f>C67</f>
        <v>50000</v>
      </c>
      <c r="J64" s="199">
        <f>C68</f>
        <v>100000</v>
      </c>
      <c r="K64" s="268" t="s">
        <v>32</v>
      </c>
      <c r="L64" s="238"/>
    </row>
    <row r="65" spans="1:12" x14ac:dyDescent="0.4">
      <c r="A65" s="92"/>
      <c r="B65" t="s">
        <v>51</v>
      </c>
      <c r="C65" s="197">
        <v>10000</v>
      </c>
      <c r="D65" t="s">
        <v>188</v>
      </c>
      <c r="E65" s="197">
        <v>3</v>
      </c>
      <c r="F65" s="197">
        <v>22341</v>
      </c>
      <c r="G65" s="197">
        <f>F65</f>
        <v>22341</v>
      </c>
      <c r="H65" s="197"/>
      <c r="I65" s="197"/>
      <c r="J65" s="197"/>
      <c r="K65" s="197">
        <f>SUM(G65:J65)</f>
        <v>22341</v>
      </c>
      <c r="L65" s="238"/>
    </row>
    <row r="66" spans="1:12" x14ac:dyDescent="0.4">
      <c r="A66" s="92"/>
      <c r="B66" t="s">
        <v>52</v>
      </c>
      <c r="C66" s="197">
        <v>40000</v>
      </c>
      <c r="D66" t="s">
        <v>188</v>
      </c>
      <c r="E66" s="197">
        <v>21</v>
      </c>
      <c r="F66" s="197">
        <v>518243</v>
      </c>
      <c r="G66" s="197">
        <f>E66*G64</f>
        <v>210000</v>
      </c>
      <c r="H66" s="197">
        <f>F66-G66</f>
        <v>308243</v>
      </c>
      <c r="I66" s="197"/>
      <c r="J66" s="197"/>
      <c r="K66" s="197">
        <f>SUM(G66:J66)</f>
        <v>518243</v>
      </c>
      <c r="L66" s="238"/>
    </row>
    <row r="67" spans="1:12" x14ac:dyDescent="0.4">
      <c r="A67" s="92"/>
      <c r="B67" t="s">
        <v>52</v>
      </c>
      <c r="C67" s="197">
        <v>50000</v>
      </c>
      <c r="D67" t="s">
        <v>188</v>
      </c>
      <c r="E67" s="197">
        <v>3</v>
      </c>
      <c r="F67" s="197">
        <v>255307</v>
      </c>
      <c r="G67" s="197">
        <f>E67*G64</f>
        <v>30000</v>
      </c>
      <c r="H67" s="197">
        <f>E67*H64</f>
        <v>120000</v>
      </c>
      <c r="I67" s="197">
        <f>F67-G67-H67</f>
        <v>105307</v>
      </c>
      <c r="J67" s="197"/>
      <c r="K67" s="197">
        <f>SUM(G67:J67)</f>
        <v>255307</v>
      </c>
      <c r="L67" s="238"/>
    </row>
    <row r="68" spans="1:12" x14ac:dyDescent="0.4">
      <c r="A68" s="92"/>
      <c r="B68" t="s">
        <v>114</v>
      </c>
      <c r="C68" s="197">
        <f>SUM(C65:C67)</f>
        <v>100000</v>
      </c>
      <c r="D68" t="s">
        <v>188</v>
      </c>
      <c r="E68" s="197">
        <v>23</v>
      </c>
      <c r="F68" s="197">
        <v>9866500</v>
      </c>
      <c r="G68" s="197">
        <f>E68*G64</f>
        <v>230000</v>
      </c>
      <c r="H68" s="197">
        <f>H64*E68</f>
        <v>920000</v>
      </c>
      <c r="I68" s="197">
        <f>I64*E68</f>
        <v>1150000</v>
      </c>
      <c r="J68" s="197">
        <f>F68-G68-H68-I68</f>
        <v>7566500</v>
      </c>
      <c r="K68" s="197">
        <f>SUM(G68:J68)</f>
        <v>9866500</v>
      </c>
      <c r="L68" s="238"/>
    </row>
    <row r="69" spans="1:12" ht="15.4" thickBot="1" x14ac:dyDescent="0.45">
      <c r="A69" s="92"/>
      <c r="C69" s="197"/>
      <c r="E69" s="270">
        <f t="shared" ref="E69:K69" si="8">SUM(E65:E68)</f>
        <v>50</v>
      </c>
      <c r="F69" s="270">
        <f t="shared" si="8"/>
        <v>10662391</v>
      </c>
      <c r="G69" s="270">
        <f t="shared" si="8"/>
        <v>492341</v>
      </c>
      <c r="H69" s="270">
        <f t="shared" si="8"/>
        <v>1348243</v>
      </c>
      <c r="I69" s="270">
        <f t="shared" si="8"/>
        <v>1255307</v>
      </c>
      <c r="J69" s="270">
        <f t="shared" si="8"/>
        <v>7566500</v>
      </c>
      <c r="K69" s="270">
        <f t="shared" si="8"/>
        <v>10662391</v>
      </c>
      <c r="L69" s="238"/>
    </row>
    <row r="70" spans="1:12" ht="15.4" thickTop="1" x14ac:dyDescent="0.4">
      <c r="A70" s="92"/>
      <c r="C70" s="197"/>
      <c r="F70"/>
      <c r="G70"/>
      <c r="H70"/>
      <c r="I70"/>
      <c r="L70" s="238"/>
    </row>
    <row r="71" spans="1:12" x14ac:dyDescent="0.4">
      <c r="A71" s="92"/>
      <c r="B71" t="s">
        <v>51</v>
      </c>
      <c r="C71" s="197">
        <f>C65</f>
        <v>10000</v>
      </c>
      <c r="D71" t="s">
        <v>188</v>
      </c>
      <c r="E71" s="197">
        <f>E69</f>
        <v>50</v>
      </c>
      <c r="F71" s="197">
        <f>G69</f>
        <v>492341</v>
      </c>
      <c r="G71" s="244">
        <f>'Yr 1 Rate Comp'!L25</f>
        <v>80.849999999999994</v>
      </c>
      <c r="H71" t="s">
        <v>241</v>
      </c>
      <c r="I71" s="197">
        <f>ROUND(E71*G71,2)</f>
        <v>4042.5</v>
      </c>
      <c r="J71" s="197"/>
      <c r="L71" s="238"/>
    </row>
    <row r="72" spans="1:12" x14ac:dyDescent="0.4">
      <c r="A72" s="92"/>
      <c r="B72" t="s">
        <v>52</v>
      </c>
      <c r="C72" s="197">
        <f t="shared" ref="C72:C74" si="9">C66</f>
        <v>40000</v>
      </c>
      <c r="D72" t="s">
        <v>188</v>
      </c>
      <c r="E72" s="197"/>
      <c r="F72" s="197">
        <f>H69</f>
        <v>1348243</v>
      </c>
      <c r="G72" s="271">
        <f>'Yr 1 Rate Comp'!L26</f>
        <v>6.1200000000000004E-3</v>
      </c>
      <c r="H72" t="s">
        <v>240</v>
      </c>
      <c r="I72" s="197">
        <f t="shared" ref="I72:I74" si="10">ROUND(F72*G72,2)</f>
        <v>8251.25</v>
      </c>
      <c r="J72" s="197"/>
      <c r="L72" s="238"/>
    </row>
    <row r="73" spans="1:12" x14ac:dyDescent="0.4">
      <c r="A73" s="92"/>
      <c r="B73" t="s">
        <v>52</v>
      </c>
      <c r="C73" s="197">
        <f t="shared" si="9"/>
        <v>50000</v>
      </c>
      <c r="D73" t="s">
        <v>188</v>
      </c>
      <c r="E73" s="197"/>
      <c r="F73" s="197">
        <f>I69</f>
        <v>1255307</v>
      </c>
      <c r="G73" s="271">
        <f>'Yr 1 Rate Comp'!L27</f>
        <v>5.2700000000000004E-3</v>
      </c>
      <c r="H73" t="s">
        <v>240</v>
      </c>
      <c r="I73" s="197">
        <f t="shared" si="10"/>
        <v>6615.47</v>
      </c>
      <c r="J73" s="197"/>
      <c r="L73" s="238"/>
    </row>
    <row r="74" spans="1:12" x14ac:dyDescent="0.4">
      <c r="A74" s="92"/>
      <c r="B74" t="s">
        <v>114</v>
      </c>
      <c r="C74" s="197">
        <f t="shared" si="9"/>
        <v>100000</v>
      </c>
      <c r="D74" t="s">
        <v>188</v>
      </c>
      <c r="E74" s="197"/>
      <c r="F74" s="197">
        <f>J68</f>
        <v>7566500</v>
      </c>
      <c r="G74" s="271">
        <f>'Yr 1 Rate Comp'!L28</f>
        <v>4.3900000000000007E-3</v>
      </c>
      <c r="H74" t="s">
        <v>240</v>
      </c>
      <c r="I74" s="213">
        <f t="shared" si="10"/>
        <v>33216.94</v>
      </c>
      <c r="J74" s="197"/>
      <c r="L74" s="238"/>
    </row>
    <row r="75" spans="1:12" ht="15.4" thickBot="1" x14ac:dyDescent="0.45">
      <c r="A75" s="92"/>
      <c r="B75" s="116" t="s">
        <v>734</v>
      </c>
      <c r="C75" s="197"/>
      <c r="E75" s="270">
        <f>SUM(E71:E74)</f>
        <v>50</v>
      </c>
      <c r="F75" s="270">
        <f>SUM(F71:F74)</f>
        <v>10662391</v>
      </c>
      <c r="G75"/>
      <c r="H75"/>
      <c r="I75" s="214">
        <f>SUM(I71:I74)</f>
        <v>52126.16</v>
      </c>
      <c r="J75" s="197"/>
      <c r="L75" s="238"/>
    </row>
    <row r="76" spans="1:12" ht="15.4" thickTop="1" x14ac:dyDescent="0.4">
      <c r="A76" s="248"/>
      <c r="B76" s="136"/>
      <c r="C76" s="136"/>
      <c r="D76" s="213"/>
      <c r="E76" s="213"/>
      <c r="F76" s="213"/>
      <c r="G76" s="213"/>
      <c r="H76" s="213"/>
      <c r="I76" s="213"/>
      <c r="J76" s="213"/>
      <c r="K76" s="213"/>
      <c r="L76" s="249"/>
    </row>
    <row r="77" spans="1:12" x14ac:dyDescent="0.4">
      <c r="A77" s="246"/>
      <c r="B77" s="654" t="s">
        <v>743</v>
      </c>
      <c r="C77" s="654"/>
      <c r="D77" s="654"/>
      <c r="E77" s="654"/>
      <c r="F77" s="654"/>
      <c r="G77" s="654"/>
      <c r="H77" s="654"/>
      <c r="I77" s="654"/>
      <c r="J77" s="654"/>
      <c r="K77" s="654"/>
      <c r="L77" s="247"/>
    </row>
    <row r="78" spans="1:12" x14ac:dyDescent="0.4">
      <c r="A78" s="92"/>
      <c r="L78" s="238"/>
    </row>
    <row r="79" spans="1:12" x14ac:dyDescent="0.4">
      <c r="A79" s="92"/>
      <c r="B79" s="592" t="s">
        <v>336</v>
      </c>
      <c r="L79" s="238"/>
    </row>
    <row r="80" spans="1:12" x14ac:dyDescent="0.4">
      <c r="A80" s="92"/>
      <c r="C80" s="197"/>
      <c r="E80" s="268" t="s">
        <v>187</v>
      </c>
      <c r="F80" s="258" t="s">
        <v>188</v>
      </c>
      <c r="G80" s="199">
        <f>C81</f>
        <v>16000</v>
      </c>
      <c r="H80" s="199">
        <f>C82</f>
        <v>34000</v>
      </c>
      <c r="I80" s="199">
        <f>C83</f>
        <v>50000</v>
      </c>
      <c r="J80" s="199">
        <f>C84</f>
        <v>100000</v>
      </c>
      <c r="K80" s="268" t="s">
        <v>32</v>
      </c>
      <c r="L80" s="238"/>
    </row>
    <row r="81" spans="1:12" x14ac:dyDescent="0.4">
      <c r="A81" s="92"/>
      <c r="B81" t="s">
        <v>51</v>
      </c>
      <c r="C81" s="197">
        <v>16000</v>
      </c>
      <c r="D81" t="s">
        <v>188</v>
      </c>
      <c r="E81" s="197">
        <v>18</v>
      </c>
      <c r="F81" s="197">
        <v>93348</v>
      </c>
      <c r="G81" s="197">
        <f>F81</f>
        <v>93348</v>
      </c>
      <c r="H81" s="197"/>
      <c r="I81" s="197"/>
      <c r="J81" s="197"/>
      <c r="K81" s="197">
        <f>SUM(G81:J81)</f>
        <v>93348</v>
      </c>
      <c r="L81" s="238"/>
    </row>
    <row r="82" spans="1:12" x14ac:dyDescent="0.4">
      <c r="A82" s="92"/>
      <c r="B82" t="s">
        <v>52</v>
      </c>
      <c r="C82" s="197">
        <v>34000</v>
      </c>
      <c r="D82" t="s">
        <v>188</v>
      </c>
      <c r="E82" s="197">
        <v>17</v>
      </c>
      <c r="F82" s="197">
        <v>510798</v>
      </c>
      <c r="G82" s="197">
        <f>E82*G80</f>
        <v>272000</v>
      </c>
      <c r="H82" s="197">
        <f>F82-G82</f>
        <v>238798</v>
      </c>
      <c r="I82" s="197"/>
      <c r="J82" s="197"/>
      <c r="K82" s="197">
        <f>SUM(G82:J82)</f>
        <v>510798</v>
      </c>
      <c r="L82" s="238"/>
    </row>
    <row r="83" spans="1:12" x14ac:dyDescent="0.4">
      <c r="A83" s="92"/>
      <c r="B83" t="s">
        <v>52</v>
      </c>
      <c r="C83" s="197">
        <v>50000</v>
      </c>
      <c r="D83" t="s">
        <v>188</v>
      </c>
      <c r="E83" s="197">
        <v>33</v>
      </c>
      <c r="F83" s="197">
        <v>2074154</v>
      </c>
      <c r="G83" s="197">
        <f>E83*G80</f>
        <v>528000</v>
      </c>
      <c r="H83" s="197">
        <f>E83*H80</f>
        <v>1122000</v>
      </c>
      <c r="I83" s="197">
        <f>F83-G83-H83</f>
        <v>424154</v>
      </c>
      <c r="J83" s="197"/>
      <c r="K83" s="197">
        <f>SUM(G83:J83)</f>
        <v>2074154</v>
      </c>
      <c r="L83" s="238"/>
    </row>
    <row r="84" spans="1:12" x14ac:dyDescent="0.4">
      <c r="A84" s="92"/>
      <c r="B84" t="s">
        <v>114</v>
      </c>
      <c r="C84" s="197">
        <f>SUM(C81:C83)</f>
        <v>100000</v>
      </c>
      <c r="D84" t="s">
        <v>188</v>
      </c>
      <c r="E84" s="197">
        <v>4</v>
      </c>
      <c r="F84" s="197">
        <v>517789</v>
      </c>
      <c r="G84" s="197">
        <f>E84*G80</f>
        <v>64000</v>
      </c>
      <c r="H84" s="197">
        <f>H80*E84</f>
        <v>136000</v>
      </c>
      <c r="I84" s="197">
        <f>I80*E84</f>
        <v>200000</v>
      </c>
      <c r="J84" s="197">
        <f>F84-G84-H84-I84</f>
        <v>117789</v>
      </c>
      <c r="K84" s="197">
        <f>SUM(G84:J84)</f>
        <v>517789</v>
      </c>
      <c r="L84" s="238"/>
    </row>
    <row r="85" spans="1:12" ht="15.4" thickBot="1" x14ac:dyDescent="0.45">
      <c r="A85" s="92"/>
      <c r="C85" s="197"/>
      <c r="E85" s="270">
        <f t="shared" ref="E85:K85" si="11">SUM(E81:E84)</f>
        <v>72</v>
      </c>
      <c r="F85" s="270">
        <f t="shared" si="11"/>
        <v>3196089</v>
      </c>
      <c r="G85" s="270">
        <f t="shared" si="11"/>
        <v>957348</v>
      </c>
      <c r="H85" s="270">
        <f t="shared" si="11"/>
        <v>1496798</v>
      </c>
      <c r="I85" s="270">
        <f t="shared" si="11"/>
        <v>624154</v>
      </c>
      <c r="J85" s="270">
        <f t="shared" si="11"/>
        <v>117789</v>
      </c>
      <c r="K85" s="270">
        <f t="shared" si="11"/>
        <v>3196089</v>
      </c>
      <c r="L85" s="238"/>
    </row>
    <row r="86" spans="1:12" ht="15.4" thickTop="1" x14ac:dyDescent="0.4">
      <c r="A86" s="92"/>
      <c r="C86" s="197"/>
      <c r="D86" s="197"/>
      <c r="E86" s="197"/>
      <c r="F86" s="197"/>
      <c r="G86" s="197"/>
      <c r="H86" s="197"/>
      <c r="I86" s="197"/>
      <c r="J86" s="197"/>
      <c r="L86" s="238"/>
    </row>
    <row r="87" spans="1:12" x14ac:dyDescent="0.4">
      <c r="A87" s="92"/>
      <c r="B87" t="s">
        <v>51</v>
      </c>
      <c r="C87" s="197">
        <v>16000</v>
      </c>
      <c r="D87" t="s">
        <v>188</v>
      </c>
      <c r="E87" s="197">
        <f>E85</f>
        <v>72</v>
      </c>
      <c r="F87" s="197">
        <f>G85</f>
        <v>957348</v>
      </c>
      <c r="G87" s="244">
        <f>'Yr 1 Rate Comp'!L31</f>
        <v>118.66999999999999</v>
      </c>
      <c r="H87" t="s">
        <v>241</v>
      </c>
      <c r="I87" s="197">
        <f>ROUND(E87*G87,2)</f>
        <v>8544.24</v>
      </c>
      <c r="J87" s="197"/>
      <c r="L87" s="238"/>
    </row>
    <row r="88" spans="1:12" x14ac:dyDescent="0.4">
      <c r="A88" s="92"/>
      <c r="B88" t="s">
        <v>52</v>
      </c>
      <c r="C88" s="197">
        <v>184000</v>
      </c>
      <c r="D88" t="s">
        <v>188</v>
      </c>
      <c r="E88" s="197"/>
      <c r="F88" s="197">
        <f>H85</f>
        <v>1496798</v>
      </c>
      <c r="G88" s="271">
        <f>'Yr 1 Rate Comp'!L32</f>
        <v>6.1200000000000004E-3</v>
      </c>
      <c r="H88" t="s">
        <v>240</v>
      </c>
      <c r="I88" s="197">
        <f t="shared" ref="I88:I90" si="12">ROUND(F88*G88,2)</f>
        <v>9160.4</v>
      </c>
      <c r="J88" s="197"/>
      <c r="L88" s="238"/>
    </row>
    <row r="89" spans="1:12" x14ac:dyDescent="0.4">
      <c r="A89" s="92"/>
      <c r="B89" t="s">
        <v>52</v>
      </c>
      <c r="C89" s="197">
        <v>400000</v>
      </c>
      <c r="D89" t="s">
        <v>188</v>
      </c>
      <c r="E89" s="197"/>
      <c r="F89" s="197">
        <f>I85</f>
        <v>624154</v>
      </c>
      <c r="G89" s="271">
        <f>'Yr 1 Rate Comp'!L33</f>
        <v>5.2700000000000004E-3</v>
      </c>
      <c r="H89" t="s">
        <v>240</v>
      </c>
      <c r="I89" s="197">
        <f t="shared" si="12"/>
        <v>3289.29</v>
      </c>
      <c r="J89" s="197"/>
      <c r="L89" s="238"/>
    </row>
    <row r="90" spans="1:12" x14ac:dyDescent="0.4">
      <c r="A90" s="92"/>
      <c r="B90" t="s">
        <v>114</v>
      </c>
      <c r="C90" s="197">
        <v>600000</v>
      </c>
      <c r="D90" t="s">
        <v>188</v>
      </c>
      <c r="E90" s="197"/>
      <c r="F90" s="197">
        <f>J85</f>
        <v>117789</v>
      </c>
      <c r="G90" s="271">
        <f>'Yr 1 Rate Comp'!L34</f>
        <v>4.3900000000000007E-3</v>
      </c>
      <c r="H90" t="s">
        <v>240</v>
      </c>
      <c r="I90" s="213">
        <f t="shared" si="12"/>
        <v>517.09</v>
      </c>
      <c r="J90" s="197"/>
      <c r="L90" s="238"/>
    </row>
    <row r="91" spans="1:12" ht="15.4" thickBot="1" x14ac:dyDescent="0.45">
      <c r="A91" s="92"/>
      <c r="B91" s="116" t="s">
        <v>736</v>
      </c>
      <c r="C91" s="197"/>
      <c r="D91"/>
      <c r="E91" s="270">
        <f>SUM(E87:E90)</f>
        <v>72</v>
      </c>
      <c r="F91" s="270">
        <f>SUM(F87:F90)</f>
        <v>3196089</v>
      </c>
      <c r="G91"/>
      <c r="H91"/>
      <c r="I91" s="214">
        <f>SUM(I87:I90)</f>
        <v>21511.02</v>
      </c>
      <c r="J91" s="197"/>
      <c r="L91" s="238"/>
    </row>
    <row r="92" spans="1:12" ht="15.4" thickTop="1" x14ac:dyDescent="0.4">
      <c r="A92" s="92"/>
      <c r="L92" s="238"/>
    </row>
    <row r="93" spans="1:12" x14ac:dyDescent="0.4">
      <c r="A93" s="92"/>
      <c r="B93" s="592" t="s">
        <v>338</v>
      </c>
      <c r="L93" s="238"/>
    </row>
    <row r="94" spans="1:12" x14ac:dyDescent="0.4">
      <c r="A94" s="92"/>
      <c r="C94" s="197"/>
      <c r="D94" s="268" t="s">
        <v>187</v>
      </c>
      <c r="E94" s="258" t="s">
        <v>188</v>
      </c>
      <c r="F94" s="199">
        <f>C95</f>
        <v>30000</v>
      </c>
      <c r="G94" s="199">
        <f>C96</f>
        <v>20000</v>
      </c>
      <c r="H94" s="199">
        <f>C97</f>
        <v>50000</v>
      </c>
      <c r="I94" s="199">
        <f>C98</f>
        <v>100000</v>
      </c>
      <c r="L94" s="238"/>
    </row>
    <row r="95" spans="1:12" x14ac:dyDescent="0.4">
      <c r="A95" s="92"/>
      <c r="B95" t="s">
        <v>51</v>
      </c>
      <c r="C95" s="197">
        <v>30000</v>
      </c>
      <c r="D95" s="197">
        <v>2</v>
      </c>
      <c r="E95" s="197">
        <v>17069</v>
      </c>
      <c r="F95" s="197">
        <f>E95</f>
        <v>17069</v>
      </c>
      <c r="G95" s="197"/>
      <c r="H95" s="197"/>
      <c r="I95" s="197"/>
      <c r="L95" s="238"/>
    </row>
    <row r="96" spans="1:12" x14ac:dyDescent="0.4">
      <c r="A96" s="92"/>
      <c r="B96" t="s">
        <v>52</v>
      </c>
      <c r="C96" s="197">
        <v>20000</v>
      </c>
      <c r="D96" s="197">
        <v>2</v>
      </c>
      <c r="E96" s="197">
        <v>75910</v>
      </c>
      <c r="F96" s="197">
        <f>D96*F94</f>
        <v>60000</v>
      </c>
      <c r="G96" s="197">
        <f>E96-F96</f>
        <v>15910</v>
      </c>
      <c r="H96" s="197"/>
      <c r="I96" s="197"/>
      <c r="L96" s="238"/>
    </row>
    <row r="97" spans="1:12" x14ac:dyDescent="0.4">
      <c r="A97" s="92"/>
      <c r="B97" t="s">
        <v>52</v>
      </c>
      <c r="C97" s="197">
        <v>50000</v>
      </c>
      <c r="D97" s="197">
        <v>3</v>
      </c>
      <c r="E97" s="197">
        <v>192561</v>
      </c>
      <c r="F97" s="197">
        <f>D97*F94</f>
        <v>90000</v>
      </c>
      <c r="G97" s="197">
        <f>D97*G94</f>
        <v>60000</v>
      </c>
      <c r="H97" s="197">
        <f>E97-F97-G97</f>
        <v>42561</v>
      </c>
      <c r="I97" s="197"/>
      <c r="L97" s="238"/>
    </row>
    <row r="98" spans="1:12" x14ac:dyDescent="0.4">
      <c r="A98" s="92"/>
      <c r="B98" t="s">
        <v>114</v>
      </c>
      <c r="C98" s="197">
        <v>100000</v>
      </c>
      <c r="D98" s="197">
        <v>5</v>
      </c>
      <c r="E98" s="197">
        <v>678619</v>
      </c>
      <c r="F98" s="197">
        <f>D98*F94</f>
        <v>150000</v>
      </c>
      <c r="G98" s="197">
        <f>G94*D98</f>
        <v>100000</v>
      </c>
      <c r="H98" s="197">
        <f>H94*D98</f>
        <v>250000</v>
      </c>
      <c r="I98" s="197">
        <f>E98-F98-G98-H98</f>
        <v>178619</v>
      </c>
      <c r="L98" s="238"/>
    </row>
    <row r="99" spans="1:12" ht="15.4" thickBot="1" x14ac:dyDescent="0.45">
      <c r="A99" s="92"/>
      <c r="C99" s="197"/>
      <c r="D99" s="270">
        <f t="shared" ref="D99:I99" si="13">SUM(D95:D98)</f>
        <v>12</v>
      </c>
      <c r="E99" s="270">
        <f t="shared" si="13"/>
        <v>964159</v>
      </c>
      <c r="F99" s="270">
        <f t="shared" si="13"/>
        <v>317069</v>
      </c>
      <c r="G99" s="270">
        <f t="shared" si="13"/>
        <v>175910</v>
      </c>
      <c r="H99" s="270">
        <f t="shared" si="13"/>
        <v>292561</v>
      </c>
      <c r="I99" s="270">
        <f t="shared" si="13"/>
        <v>178619</v>
      </c>
      <c r="L99" s="238"/>
    </row>
    <row r="100" spans="1:12" ht="15.4" thickTop="1" x14ac:dyDescent="0.4">
      <c r="A100" s="92"/>
      <c r="C100" s="197"/>
      <c r="D100" s="197"/>
      <c r="E100" s="197"/>
      <c r="F100"/>
      <c r="G100"/>
      <c r="H100"/>
      <c r="I100"/>
      <c r="L100" s="238"/>
    </row>
    <row r="101" spans="1:12" x14ac:dyDescent="0.4">
      <c r="A101" s="92"/>
      <c r="C101" s="197"/>
      <c r="D101"/>
      <c r="E101" s="197"/>
      <c r="F101" s="197"/>
      <c r="G101" s="197"/>
      <c r="H101" s="197"/>
      <c r="I101" s="197"/>
      <c r="L101" s="238"/>
    </row>
    <row r="102" spans="1:12" x14ac:dyDescent="0.4">
      <c r="A102" s="92"/>
      <c r="B102" t="s">
        <v>51</v>
      </c>
      <c r="C102" s="197">
        <f>C95</f>
        <v>30000</v>
      </c>
      <c r="D102" t="s">
        <v>188</v>
      </c>
      <c r="E102" s="197">
        <f>D99</f>
        <v>12</v>
      </c>
      <c r="F102" s="197">
        <f>F99</f>
        <v>317069</v>
      </c>
      <c r="G102" s="244">
        <f>'Yr 1 Rate Comp'!L43</f>
        <v>266.53000000000003</v>
      </c>
      <c r="H102" t="s">
        <v>241</v>
      </c>
      <c r="I102" s="138">
        <f>ROUND(E102*G102,2)</f>
        <v>3198.36</v>
      </c>
      <c r="L102" s="238"/>
    </row>
    <row r="103" spans="1:12" x14ac:dyDescent="0.4">
      <c r="A103" s="92"/>
      <c r="B103" t="s">
        <v>52</v>
      </c>
      <c r="C103" s="197">
        <f t="shared" ref="C103:C105" si="14">C96</f>
        <v>20000</v>
      </c>
      <c r="D103" t="s">
        <v>188</v>
      </c>
      <c r="E103" s="197"/>
      <c r="F103" s="197">
        <f>G99</f>
        <v>175910</v>
      </c>
      <c r="G103" s="271">
        <f>'Yr 1 Rate Comp'!L44</f>
        <v>6.1200000000000004E-3</v>
      </c>
      <c r="H103" t="s">
        <v>240</v>
      </c>
      <c r="I103" s="138">
        <f t="shared" ref="I103:I105" si="15">ROUND(F103*G103,2)</f>
        <v>1076.57</v>
      </c>
      <c r="L103" s="238"/>
    </row>
    <row r="104" spans="1:12" x14ac:dyDescent="0.4">
      <c r="A104" s="92"/>
      <c r="B104" t="s">
        <v>52</v>
      </c>
      <c r="C104" s="197">
        <f t="shared" si="14"/>
        <v>50000</v>
      </c>
      <c r="D104" t="s">
        <v>188</v>
      </c>
      <c r="E104" s="197"/>
      <c r="F104" s="197">
        <f>H99</f>
        <v>292561</v>
      </c>
      <c r="G104" s="271">
        <f>'Yr 1 Rate Comp'!L45</f>
        <v>5.2700000000000004E-3</v>
      </c>
      <c r="H104" t="s">
        <v>240</v>
      </c>
      <c r="I104" s="138">
        <f t="shared" si="15"/>
        <v>1541.8</v>
      </c>
      <c r="L104" s="238"/>
    </row>
    <row r="105" spans="1:12" x14ac:dyDescent="0.4">
      <c r="A105" s="92"/>
      <c r="B105" t="s">
        <v>114</v>
      </c>
      <c r="C105" s="197">
        <f t="shared" si="14"/>
        <v>100000</v>
      </c>
      <c r="D105" t="s">
        <v>188</v>
      </c>
      <c r="E105" s="197"/>
      <c r="F105" s="197">
        <f>I99</f>
        <v>178619</v>
      </c>
      <c r="G105" s="271">
        <f>'Yr 1 Rate Comp'!L46</f>
        <v>4.3900000000000007E-3</v>
      </c>
      <c r="H105" t="s">
        <v>240</v>
      </c>
      <c r="I105" s="213">
        <f t="shared" si="15"/>
        <v>784.14</v>
      </c>
      <c r="L105" s="238"/>
    </row>
    <row r="106" spans="1:12" ht="15.4" thickBot="1" x14ac:dyDescent="0.45">
      <c r="A106" s="92"/>
      <c r="B106" s="116" t="s">
        <v>737</v>
      </c>
      <c r="C106" s="197"/>
      <c r="D106"/>
      <c r="E106" s="270">
        <f>SUM(E102:E105)</f>
        <v>12</v>
      </c>
      <c r="F106" s="270">
        <f>SUM(F102:F105)</f>
        <v>964159</v>
      </c>
      <c r="G106"/>
      <c r="H106"/>
      <c r="I106" s="214">
        <f>SUM(I102:I105)</f>
        <v>6600.8700000000008</v>
      </c>
      <c r="L106" s="238"/>
    </row>
    <row r="107" spans="1:12" ht="15.4" thickTop="1" x14ac:dyDescent="0.4">
      <c r="A107" s="92"/>
      <c r="L107" s="238"/>
    </row>
    <row r="108" spans="1:12" x14ac:dyDescent="0.4">
      <c r="A108" s="92"/>
      <c r="B108" s="592" t="s">
        <v>339</v>
      </c>
      <c r="L108" s="238"/>
    </row>
    <row r="109" spans="1:12" x14ac:dyDescent="0.4">
      <c r="A109" s="92"/>
      <c r="C109" s="197"/>
      <c r="D109" s="268" t="s">
        <v>187</v>
      </c>
      <c r="E109" s="258" t="s">
        <v>188</v>
      </c>
      <c r="F109" s="199">
        <f>C110</f>
        <v>60000</v>
      </c>
      <c r="G109" s="199">
        <f>C111</f>
        <v>40000</v>
      </c>
      <c r="H109" s="199">
        <f>C112</f>
        <v>100000</v>
      </c>
      <c r="I109" s="199" t="s">
        <v>32</v>
      </c>
      <c r="L109" s="238"/>
    </row>
    <row r="110" spans="1:12" x14ac:dyDescent="0.4">
      <c r="A110" s="92"/>
      <c r="B110" t="s">
        <v>51</v>
      </c>
      <c r="C110" s="197">
        <v>60000</v>
      </c>
      <c r="D110" s="197">
        <v>34</v>
      </c>
      <c r="E110" s="197">
        <v>599082</v>
      </c>
      <c r="F110" s="197">
        <f>E110</f>
        <v>599082</v>
      </c>
      <c r="G110" s="197"/>
      <c r="H110" s="197"/>
      <c r="I110" s="197">
        <f>SUM(F110:H110)</f>
        <v>599082</v>
      </c>
      <c r="L110" s="238"/>
    </row>
    <row r="111" spans="1:12" x14ac:dyDescent="0.4">
      <c r="A111" s="92"/>
      <c r="B111" t="s">
        <v>52</v>
      </c>
      <c r="C111" s="197">
        <v>40000</v>
      </c>
      <c r="D111" s="197">
        <v>9</v>
      </c>
      <c r="E111" s="197">
        <v>697358</v>
      </c>
      <c r="F111" s="197">
        <f>D111*F109</f>
        <v>540000</v>
      </c>
      <c r="G111" s="197">
        <f>E111-F111</f>
        <v>157358</v>
      </c>
      <c r="H111" s="197"/>
      <c r="I111" s="197">
        <f t="shared" ref="I111:I112" si="16">SUM(F111:H111)</f>
        <v>697358</v>
      </c>
      <c r="L111" s="238"/>
    </row>
    <row r="112" spans="1:12" x14ac:dyDescent="0.4">
      <c r="A112" s="92"/>
      <c r="B112" t="s">
        <v>114</v>
      </c>
      <c r="C112" s="197">
        <f>SUM(C110:C111)</f>
        <v>100000</v>
      </c>
      <c r="D112" s="197">
        <v>5</v>
      </c>
      <c r="E112" s="197">
        <v>619573</v>
      </c>
      <c r="F112" s="197">
        <f>D112*F109</f>
        <v>300000</v>
      </c>
      <c r="G112" s="197">
        <f>G109*D112</f>
        <v>200000</v>
      </c>
      <c r="H112" s="197">
        <f>E112-F112-G112</f>
        <v>119573</v>
      </c>
      <c r="I112" s="197">
        <f t="shared" si="16"/>
        <v>619573</v>
      </c>
      <c r="L112" s="238"/>
    </row>
    <row r="113" spans="1:12" ht="15.4" thickBot="1" x14ac:dyDescent="0.45">
      <c r="A113" s="92"/>
      <c r="C113" s="197"/>
      <c r="D113" s="270">
        <f t="shared" ref="D113:I113" si="17">SUM(D110:D112)</f>
        <v>48</v>
      </c>
      <c r="E113" s="270">
        <f t="shared" si="17"/>
        <v>1916013</v>
      </c>
      <c r="F113" s="270">
        <f t="shared" si="17"/>
        <v>1439082</v>
      </c>
      <c r="G113" s="270">
        <f t="shared" si="17"/>
        <v>357358</v>
      </c>
      <c r="H113" s="270">
        <f t="shared" si="17"/>
        <v>119573</v>
      </c>
      <c r="I113" s="270">
        <f t="shared" si="17"/>
        <v>1916013</v>
      </c>
      <c r="L113" s="238"/>
    </row>
    <row r="114" spans="1:12" ht="15.4" thickTop="1" x14ac:dyDescent="0.4">
      <c r="A114" s="92"/>
      <c r="C114" s="197"/>
      <c r="D114" s="197"/>
      <c r="E114" s="197"/>
      <c r="F114"/>
      <c r="G114"/>
      <c r="H114"/>
      <c r="I114"/>
      <c r="L114" s="238"/>
    </row>
    <row r="115" spans="1:12" x14ac:dyDescent="0.4">
      <c r="A115" s="92"/>
      <c r="C115" s="197"/>
      <c r="D115"/>
      <c r="E115" s="197"/>
      <c r="F115" s="197"/>
      <c r="G115" s="197"/>
      <c r="H115" s="197"/>
      <c r="I115" s="197"/>
      <c r="L115" s="238"/>
    </row>
    <row r="116" spans="1:12" x14ac:dyDescent="0.4">
      <c r="A116" s="92"/>
      <c r="B116" t="s">
        <v>51</v>
      </c>
      <c r="C116" s="197">
        <v>60000</v>
      </c>
      <c r="D116" t="s">
        <v>188</v>
      </c>
      <c r="E116" s="197">
        <f>D113</f>
        <v>48</v>
      </c>
      <c r="F116" s="197">
        <f>F113</f>
        <v>1439082</v>
      </c>
      <c r="G116" s="244">
        <f>'Yr 1 Rate Comp'!L49</f>
        <v>465.54</v>
      </c>
      <c r="H116" t="s">
        <v>241</v>
      </c>
      <c r="I116" s="138">
        <f>ROUND(E116*G116,2)</f>
        <v>22345.919999999998</v>
      </c>
      <c r="L116" s="238"/>
    </row>
    <row r="117" spans="1:12" x14ac:dyDescent="0.4">
      <c r="A117" s="92"/>
      <c r="B117" t="s">
        <v>52</v>
      </c>
      <c r="C117" s="197">
        <v>40000</v>
      </c>
      <c r="D117" t="s">
        <v>188</v>
      </c>
      <c r="E117" s="197"/>
      <c r="F117" s="197">
        <f>G113</f>
        <v>357358</v>
      </c>
      <c r="G117" s="271">
        <f>'Yr 1 Rate Comp'!L50</f>
        <v>5.2700000000000004E-3</v>
      </c>
      <c r="H117" t="s">
        <v>240</v>
      </c>
      <c r="I117" s="138">
        <f t="shared" ref="I117:I118" si="18">ROUND(F117*G117,2)</f>
        <v>1883.28</v>
      </c>
      <c r="L117" s="238"/>
    </row>
    <row r="118" spans="1:12" x14ac:dyDescent="0.4">
      <c r="A118" s="92"/>
      <c r="B118" t="s">
        <v>114</v>
      </c>
      <c r="C118" s="197">
        <f>SUM(C116:C117)</f>
        <v>100000</v>
      </c>
      <c r="D118" t="s">
        <v>188</v>
      </c>
      <c r="E118" s="197"/>
      <c r="F118" s="197">
        <f>H113</f>
        <v>119573</v>
      </c>
      <c r="G118" s="271">
        <f>'Yr 1 Rate Comp'!L51</f>
        <v>4.3900000000000007E-3</v>
      </c>
      <c r="H118" t="s">
        <v>240</v>
      </c>
      <c r="I118" s="213">
        <f t="shared" si="18"/>
        <v>524.92999999999995</v>
      </c>
      <c r="L118" s="238"/>
    </row>
    <row r="119" spans="1:12" ht="15.4" thickBot="1" x14ac:dyDescent="0.45">
      <c r="A119" s="92"/>
      <c r="B119" s="116" t="s">
        <v>738</v>
      </c>
      <c r="C119" s="197"/>
      <c r="D119"/>
      <c r="E119" s="270">
        <f>SUM(E116:E118)</f>
        <v>48</v>
      </c>
      <c r="F119" s="270">
        <f>SUM(F116:F118)</f>
        <v>1916013</v>
      </c>
      <c r="G119" s="271"/>
      <c r="H119"/>
      <c r="I119" s="138">
        <f>SUM(I116:I118)</f>
        <v>24754.129999999997</v>
      </c>
      <c r="L119" s="238"/>
    </row>
    <row r="120" spans="1:12" ht="15.4" thickTop="1" x14ac:dyDescent="0.4">
      <c r="A120" s="92"/>
      <c r="L120" s="238"/>
    </row>
    <row r="121" spans="1:12" x14ac:dyDescent="0.4">
      <c r="A121" s="92"/>
      <c r="B121" s="592" t="s">
        <v>355</v>
      </c>
      <c r="L121" s="238"/>
    </row>
    <row r="122" spans="1:12" ht="15.75" x14ac:dyDescent="0.5">
      <c r="A122" s="92"/>
      <c r="B122" s="272" t="s">
        <v>352</v>
      </c>
      <c r="C122" s="273"/>
      <c r="D122" s="272"/>
      <c r="E122" s="273"/>
      <c r="F122" s="273"/>
      <c r="G122" s="273"/>
      <c r="H122" s="273"/>
      <c r="I122" s="273"/>
      <c r="L122" s="238"/>
    </row>
    <row r="123" spans="1:12" ht="15.75" x14ac:dyDescent="0.5">
      <c r="A123" s="92"/>
      <c r="B123" s="272"/>
      <c r="C123" s="273"/>
      <c r="D123" s="272"/>
      <c r="E123" s="273">
        <v>12</v>
      </c>
      <c r="F123" s="273"/>
      <c r="G123" s="274">
        <f>'Yr 1 Rate Comp'!L61</f>
        <v>79.62</v>
      </c>
      <c r="H123" s="272" t="s">
        <v>241</v>
      </c>
      <c r="I123" s="275">
        <f>ROUND(E123*G123,2)</f>
        <v>955.44</v>
      </c>
      <c r="L123" s="238"/>
    </row>
    <row r="124" spans="1:12" ht="16.149999999999999" thickBot="1" x14ac:dyDescent="0.55000000000000004">
      <c r="A124" s="92"/>
      <c r="B124" s="272" t="s">
        <v>739</v>
      </c>
      <c r="C124" s="273"/>
      <c r="D124" s="272"/>
      <c r="E124" s="273">
        <f>SUM(E123:E123)</f>
        <v>12</v>
      </c>
      <c r="F124" s="273"/>
      <c r="G124" s="272"/>
      <c r="H124" s="272"/>
      <c r="I124" s="214">
        <f>SUM(I123:I123)</f>
        <v>955.44</v>
      </c>
      <c r="L124" s="238"/>
    </row>
    <row r="125" spans="1:12" ht="15.4" thickTop="1" x14ac:dyDescent="0.4">
      <c r="A125" s="92"/>
      <c r="L125" s="238"/>
    </row>
    <row r="126" spans="1:12" x14ac:dyDescent="0.4">
      <c r="A126" s="92"/>
      <c r="B126" s="592" t="s">
        <v>356</v>
      </c>
      <c r="L126" s="238"/>
    </row>
    <row r="127" spans="1:12" ht="15.75" x14ac:dyDescent="0.5">
      <c r="A127" s="92"/>
      <c r="B127" s="272" t="s">
        <v>352</v>
      </c>
      <c r="C127" s="273"/>
      <c r="D127" s="272"/>
      <c r="E127" s="273"/>
      <c r="F127" s="273"/>
      <c r="G127" s="273"/>
      <c r="H127" s="273"/>
      <c r="I127" s="273"/>
      <c r="L127" s="238"/>
    </row>
    <row r="128" spans="1:12" ht="15.75" x14ac:dyDescent="0.5">
      <c r="A128" s="92"/>
      <c r="B128" s="272"/>
      <c r="C128" s="273"/>
      <c r="D128" s="272"/>
      <c r="E128" s="273">
        <v>12</v>
      </c>
      <c r="F128" s="273"/>
      <c r="G128" s="274">
        <f>'Yr 1 Rate Comp'!L62</f>
        <v>173.07</v>
      </c>
      <c r="H128" s="272" t="s">
        <v>241</v>
      </c>
      <c r="I128" s="275">
        <f>ROUND(E128*G128,2)</f>
        <v>2076.84</v>
      </c>
      <c r="L128" s="238"/>
    </row>
    <row r="129" spans="1:12" ht="16.149999999999999" thickBot="1" x14ac:dyDescent="0.55000000000000004">
      <c r="A129" s="92"/>
      <c r="B129" s="272" t="s">
        <v>353</v>
      </c>
      <c r="C129" s="272"/>
      <c r="D129" s="272"/>
      <c r="E129" s="272"/>
      <c r="F129" s="272"/>
      <c r="G129" s="272"/>
      <c r="H129" s="272"/>
      <c r="I129" s="276">
        <f>SUM(I128)</f>
        <v>2076.84</v>
      </c>
      <c r="L129" s="238"/>
    </row>
    <row r="130" spans="1:12" ht="15.75" thickTop="1" x14ac:dyDescent="0.45">
      <c r="A130" s="92"/>
      <c r="B130" s="1"/>
      <c r="C130" s="1"/>
      <c r="D130" s="1"/>
      <c r="E130" s="1"/>
      <c r="F130" s="1"/>
      <c r="G130" s="1"/>
      <c r="H130" s="1"/>
      <c r="I130" s="1"/>
      <c r="L130" s="238"/>
    </row>
    <row r="131" spans="1:12" x14ac:dyDescent="0.4">
      <c r="A131" s="92"/>
      <c r="B131" s="592" t="s">
        <v>351</v>
      </c>
      <c r="L131" s="238"/>
    </row>
    <row r="132" spans="1:12" ht="15.75" x14ac:dyDescent="0.5">
      <c r="A132" s="92"/>
      <c r="B132" s="272" t="s">
        <v>352</v>
      </c>
      <c r="C132" s="273"/>
      <c r="D132" s="272"/>
      <c r="E132" s="273"/>
      <c r="F132" s="273"/>
      <c r="G132" s="273"/>
      <c r="H132" s="273"/>
      <c r="I132" s="273"/>
      <c r="L132" s="238"/>
    </row>
    <row r="133" spans="1:12" ht="15.75" x14ac:dyDescent="0.5">
      <c r="A133" s="92"/>
      <c r="B133" s="272"/>
      <c r="C133" s="273"/>
      <c r="D133" s="272"/>
      <c r="E133" s="273">
        <v>12</v>
      </c>
      <c r="F133" s="273"/>
      <c r="G133" s="274">
        <f>'Yr 1 Rate Comp'!L63</f>
        <v>398.7</v>
      </c>
      <c r="H133" s="272" t="s">
        <v>241</v>
      </c>
      <c r="I133" s="275">
        <f>ROUND(E133*G133,2)</f>
        <v>4784.3999999999996</v>
      </c>
      <c r="L133" s="238"/>
    </row>
    <row r="134" spans="1:12" ht="16.149999999999999" thickBot="1" x14ac:dyDescent="0.55000000000000004">
      <c r="A134" s="92"/>
      <c r="B134" s="272" t="s">
        <v>353</v>
      </c>
      <c r="C134" s="272"/>
      <c r="D134" s="272"/>
      <c r="E134" s="272"/>
      <c r="F134" s="272"/>
      <c r="G134" s="272"/>
      <c r="H134" s="272"/>
      <c r="I134" s="276">
        <f>SUM(I133)</f>
        <v>4784.3999999999996</v>
      </c>
      <c r="L134" s="238"/>
    </row>
    <row r="135" spans="1:12" ht="15.4" thickTop="1" x14ac:dyDescent="0.4">
      <c r="A135" s="248"/>
      <c r="B135" s="136"/>
      <c r="C135" s="136"/>
      <c r="D135" s="213"/>
      <c r="E135" s="213"/>
      <c r="F135" s="213"/>
      <c r="G135" s="213"/>
      <c r="H135" s="213"/>
      <c r="I135" s="213"/>
      <c r="J135" s="213"/>
      <c r="K135" s="213"/>
      <c r="L135" s="249"/>
    </row>
  </sheetData>
  <mergeCells count="4">
    <mergeCell ref="B2:K2"/>
    <mergeCell ref="D4:I4"/>
    <mergeCell ref="M5:N5"/>
    <mergeCell ref="B77:K7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4109F-8FE6-4BC9-8F45-B8DFBEA147AD}">
  <dimension ref="A1:O135"/>
  <sheetViews>
    <sheetView showGridLines="0" topLeftCell="A64" workbookViewId="0">
      <selection activeCell="A77" sqref="A77:L135"/>
    </sheetView>
  </sheetViews>
  <sheetFormatPr defaultColWidth="14.77734375" defaultRowHeight="15" x14ac:dyDescent="0.4"/>
  <cols>
    <col min="1" max="1" width="1.77734375" customWidth="1"/>
    <col min="2" max="3" width="10.77734375" customWidth="1"/>
    <col min="4" max="11" width="14.77734375" style="138"/>
    <col min="12" max="12" width="1.77734375" customWidth="1"/>
  </cols>
  <sheetData>
    <row r="1" spans="1:15" x14ac:dyDescent="0.4">
      <c r="A1" s="246"/>
      <c r="B1" s="254"/>
      <c r="C1" s="254"/>
      <c r="D1" s="269"/>
      <c r="E1" s="269"/>
      <c r="F1" s="269"/>
      <c r="G1" s="269"/>
      <c r="H1" s="269"/>
      <c r="I1" s="269"/>
      <c r="J1" s="269"/>
      <c r="K1" s="269"/>
      <c r="L1" s="247"/>
    </row>
    <row r="2" spans="1:15" x14ac:dyDescent="0.4">
      <c r="A2" s="92"/>
      <c r="B2" s="656" t="s">
        <v>741</v>
      </c>
      <c r="C2" s="656"/>
      <c r="D2" s="656"/>
      <c r="E2" s="656"/>
      <c r="F2" s="656"/>
      <c r="G2" s="656"/>
      <c r="H2" s="656"/>
      <c r="I2" s="656"/>
      <c r="J2" s="656"/>
      <c r="K2" s="656"/>
      <c r="L2" s="238"/>
    </row>
    <row r="3" spans="1:15" x14ac:dyDescent="0.4">
      <c r="A3" s="92"/>
      <c r="L3" s="238"/>
    </row>
    <row r="4" spans="1:15" x14ac:dyDescent="0.4">
      <c r="A4" s="92"/>
      <c r="D4" s="657" t="s">
        <v>732</v>
      </c>
      <c r="E4" s="657"/>
      <c r="F4" s="657"/>
      <c r="G4" s="657"/>
      <c r="H4" s="657"/>
      <c r="I4" s="657"/>
      <c r="L4" s="238"/>
    </row>
    <row r="5" spans="1:15" x14ac:dyDescent="0.4">
      <c r="A5" s="92"/>
      <c r="D5"/>
      <c r="E5"/>
      <c r="H5" s="258" t="s">
        <v>188</v>
      </c>
      <c r="I5" s="258" t="s">
        <v>473</v>
      </c>
      <c r="L5" s="238"/>
      <c r="M5" s="655" t="s">
        <v>474</v>
      </c>
      <c r="N5" s="655"/>
    </row>
    <row r="6" spans="1:15" x14ac:dyDescent="0.4">
      <c r="A6" s="92"/>
      <c r="D6" t="s">
        <v>333</v>
      </c>
      <c r="E6"/>
      <c r="H6" s="197">
        <f>F45</f>
        <v>237807129</v>
      </c>
      <c r="I6" s="138">
        <f>I45</f>
        <v>2688197.42</v>
      </c>
      <c r="L6" s="238"/>
      <c r="M6" s="258" t="s">
        <v>188</v>
      </c>
      <c r="N6" s="268" t="s">
        <v>475</v>
      </c>
      <c r="O6" s="268" t="s">
        <v>476</v>
      </c>
    </row>
    <row r="7" spans="1:15" x14ac:dyDescent="0.4">
      <c r="A7" s="92"/>
      <c r="D7" t="s">
        <v>334</v>
      </c>
      <c r="E7"/>
      <c r="H7" s="197">
        <f>F61</f>
        <v>15646733</v>
      </c>
      <c r="I7" s="138">
        <f>I61</f>
        <v>120484.46</v>
      </c>
      <c r="L7" s="238"/>
      <c r="M7" s="138">
        <v>-628052</v>
      </c>
      <c r="N7" s="138">
        <v>-3199.7504400000007</v>
      </c>
      <c r="O7" s="138">
        <v>-3820.5899999999992</v>
      </c>
    </row>
    <row r="8" spans="1:15" x14ac:dyDescent="0.4">
      <c r="A8" s="92"/>
      <c r="D8" t="s">
        <v>335</v>
      </c>
      <c r="E8"/>
      <c r="H8" s="197">
        <f>F75</f>
        <v>10662391</v>
      </c>
      <c r="I8" s="138">
        <f>I75</f>
        <v>59741.72</v>
      </c>
      <c r="L8" s="238"/>
      <c r="M8" s="138">
        <v>0</v>
      </c>
      <c r="N8" s="138">
        <v>0</v>
      </c>
      <c r="O8" s="138">
        <v>-91.550000000000011</v>
      </c>
    </row>
    <row r="9" spans="1:15" x14ac:dyDescent="0.4">
      <c r="A9" s="92"/>
      <c r="D9" t="s">
        <v>336</v>
      </c>
      <c r="E9"/>
      <c r="H9" s="197">
        <f>F91</f>
        <v>3196089</v>
      </c>
      <c r="I9" s="138">
        <f>I91</f>
        <v>24668.37</v>
      </c>
      <c r="L9" s="238"/>
      <c r="M9" s="138">
        <v>-195241</v>
      </c>
      <c r="N9" s="138">
        <v>-862.31615999999997</v>
      </c>
      <c r="O9" s="138">
        <v>0</v>
      </c>
    </row>
    <row r="10" spans="1:15" x14ac:dyDescent="0.4">
      <c r="A10" s="92"/>
      <c r="D10" t="s">
        <v>338</v>
      </c>
      <c r="E10"/>
      <c r="H10" s="197">
        <f>F106</f>
        <v>964159</v>
      </c>
      <c r="I10" s="138">
        <f>I106</f>
        <v>7568.0899999999992</v>
      </c>
      <c r="L10" s="238"/>
      <c r="M10" s="138">
        <v>0</v>
      </c>
      <c r="N10" s="138">
        <v>0</v>
      </c>
      <c r="O10" s="138">
        <v>0</v>
      </c>
    </row>
    <row r="11" spans="1:15" x14ac:dyDescent="0.4">
      <c r="A11" s="92"/>
      <c r="D11" t="s">
        <v>339</v>
      </c>
      <c r="E11"/>
      <c r="H11" s="277">
        <f>F119</f>
        <v>1916013</v>
      </c>
      <c r="I11" s="213">
        <f>I119</f>
        <v>28385.649999999998</v>
      </c>
      <c r="L11" s="238"/>
      <c r="M11" s="138">
        <v>0</v>
      </c>
      <c r="N11" s="138">
        <v>0</v>
      </c>
      <c r="O11" s="138">
        <v>0</v>
      </c>
    </row>
    <row r="12" spans="1:15" x14ac:dyDescent="0.4">
      <c r="A12" s="92"/>
      <c r="D12" t="s">
        <v>32</v>
      </c>
      <c r="E12"/>
      <c r="H12" s="197">
        <f>SUM(H6:H11)</f>
        <v>270192514</v>
      </c>
      <c r="I12" s="138">
        <f>SUM(I6:I11)</f>
        <v>2929045.71</v>
      </c>
      <c r="L12" s="238"/>
      <c r="M12" s="213">
        <v>0</v>
      </c>
      <c r="N12" s="213">
        <v>0</v>
      </c>
      <c r="O12" s="213">
        <v>0</v>
      </c>
    </row>
    <row r="13" spans="1:15" ht="15.4" thickBot="1" x14ac:dyDescent="0.45">
      <c r="A13" s="92"/>
      <c r="D13" s="116" t="s">
        <v>478</v>
      </c>
      <c r="E13"/>
      <c r="H13" s="277">
        <f>M13</f>
        <v>-823293</v>
      </c>
      <c r="I13" s="213">
        <f>SUM(N13:O13)</f>
        <v>-7974.2065999999995</v>
      </c>
      <c r="L13" s="238"/>
      <c r="M13" s="214">
        <f>SUM(M7:M12)</f>
        <v>-823293</v>
      </c>
      <c r="N13" s="214">
        <f t="shared" ref="N13:O13" si="0">SUM(N7:N12)</f>
        <v>-4062.0666000000006</v>
      </c>
      <c r="O13" s="214">
        <f t="shared" si="0"/>
        <v>-3912.1399999999994</v>
      </c>
    </row>
    <row r="14" spans="1:15" ht="15.75" thickTop="1" thickBot="1" x14ac:dyDescent="0.45">
      <c r="A14" s="92"/>
      <c r="D14" t="s">
        <v>343</v>
      </c>
      <c r="E14"/>
      <c r="H14" s="270">
        <f>SUM(H12:H13)</f>
        <v>269369221</v>
      </c>
      <c r="I14" s="138">
        <f>SUM(I12:I13)</f>
        <v>2921071.5033999998</v>
      </c>
      <c r="L14" s="238"/>
      <c r="M14" s="138"/>
    </row>
    <row r="15" spans="1:15" ht="15.4" thickTop="1" x14ac:dyDescent="0.4">
      <c r="A15" s="92"/>
      <c r="D15" t="s">
        <v>344</v>
      </c>
      <c r="E15"/>
      <c r="I15" s="213">
        <f>-'Prop BA - Year 1 Rates'!I14</f>
        <v>-2545403.7733999998</v>
      </c>
      <c r="L15" s="238"/>
    </row>
    <row r="16" spans="1:15" ht="15.4" thickBot="1" x14ac:dyDescent="0.45">
      <c r="A16" s="92"/>
      <c r="D16" s="116" t="s">
        <v>477</v>
      </c>
      <c r="E16"/>
      <c r="I16" s="214">
        <f>SUM(I14:I15)</f>
        <v>375667.73</v>
      </c>
      <c r="L16" s="238"/>
    </row>
    <row r="17" spans="1:12" ht="15.4" thickTop="1" x14ac:dyDescent="0.4">
      <c r="A17" s="92"/>
      <c r="D17"/>
      <c r="E17"/>
      <c r="L17" s="238"/>
    </row>
    <row r="18" spans="1:12" x14ac:dyDescent="0.4">
      <c r="A18" s="92"/>
      <c r="D18" t="s">
        <v>265</v>
      </c>
      <c r="E18"/>
      <c r="L18" s="238"/>
    </row>
    <row r="19" spans="1:12" x14ac:dyDescent="0.4">
      <c r="A19" s="92"/>
      <c r="D19" t="s">
        <v>357</v>
      </c>
      <c r="E19"/>
      <c r="I19" s="138">
        <f>I124</f>
        <v>1095.8900000000001</v>
      </c>
      <c r="L19" s="238"/>
    </row>
    <row r="20" spans="1:12" x14ac:dyDescent="0.4">
      <c r="A20" s="92"/>
      <c r="D20" t="s">
        <v>345</v>
      </c>
      <c r="E20"/>
      <c r="I20" s="138">
        <f>I129</f>
        <v>2382.13</v>
      </c>
      <c r="L20" s="238"/>
    </row>
    <row r="21" spans="1:12" x14ac:dyDescent="0.4">
      <c r="A21" s="92"/>
      <c r="D21" t="s">
        <v>346</v>
      </c>
      <c r="E21"/>
      <c r="I21" s="213">
        <f>I134</f>
        <v>5487.71</v>
      </c>
      <c r="L21" s="238"/>
    </row>
    <row r="22" spans="1:12" x14ac:dyDescent="0.4">
      <c r="A22" s="92"/>
      <c r="D22" t="s">
        <v>32</v>
      </c>
      <c r="E22"/>
      <c r="I22" s="138">
        <f>SUM(I19:I21)</f>
        <v>8965.73</v>
      </c>
      <c r="L22" s="238"/>
    </row>
    <row r="23" spans="1:12" x14ac:dyDescent="0.4">
      <c r="A23" s="92"/>
      <c r="D23" t="s">
        <v>341</v>
      </c>
      <c r="E23"/>
      <c r="I23" s="138">
        <f>I125</f>
        <v>0</v>
      </c>
      <c r="L23" s="238"/>
    </row>
    <row r="24" spans="1:12" x14ac:dyDescent="0.4">
      <c r="A24" s="92"/>
      <c r="D24" t="s">
        <v>342</v>
      </c>
      <c r="E24"/>
      <c r="I24" s="213">
        <v>0</v>
      </c>
      <c r="L24" s="238"/>
    </row>
    <row r="25" spans="1:12" x14ac:dyDescent="0.4">
      <c r="A25" s="92"/>
      <c r="D25" t="s">
        <v>343</v>
      </c>
      <c r="E25"/>
      <c r="I25" s="138">
        <f>SUM(I22:I24)</f>
        <v>8965.73</v>
      </c>
      <c r="L25" s="238"/>
    </row>
    <row r="26" spans="1:12" x14ac:dyDescent="0.4">
      <c r="A26" s="92"/>
      <c r="D26" t="s">
        <v>347</v>
      </c>
      <c r="E26"/>
      <c r="I26" s="213">
        <f>-'Prop BA - Year 1 Rates'!I25</f>
        <v>-7816.68</v>
      </c>
      <c r="L26" s="238"/>
    </row>
    <row r="27" spans="1:12" ht="15.4" thickBot="1" x14ac:dyDescent="0.45">
      <c r="A27" s="92"/>
      <c r="D27" s="116" t="s">
        <v>477</v>
      </c>
      <c r="E27"/>
      <c r="I27" s="214">
        <f>SUM(I25:I26)</f>
        <v>1149.0499999999993</v>
      </c>
      <c r="L27" s="238"/>
    </row>
    <row r="28" spans="1:12" ht="15.4" thickTop="1" x14ac:dyDescent="0.4">
      <c r="A28" s="92"/>
      <c r="B28" s="116"/>
      <c r="L28" s="238"/>
    </row>
    <row r="29" spans="1:12" x14ac:dyDescent="0.4">
      <c r="A29" s="92"/>
      <c r="B29" s="116"/>
      <c r="L29" s="238"/>
    </row>
    <row r="30" spans="1:12" x14ac:dyDescent="0.4">
      <c r="A30" s="92"/>
      <c r="B30" s="592" t="s">
        <v>333</v>
      </c>
      <c r="L30" s="238"/>
    </row>
    <row r="31" spans="1:12" x14ac:dyDescent="0.4">
      <c r="A31" s="92"/>
      <c r="L31" s="238"/>
    </row>
    <row r="32" spans="1:12" x14ac:dyDescent="0.4">
      <c r="A32" s="92"/>
      <c r="D32" s="268" t="s">
        <v>187</v>
      </c>
      <c r="E32" s="258" t="s">
        <v>188</v>
      </c>
      <c r="F32" s="199">
        <f>C33</f>
        <v>2000</v>
      </c>
      <c r="G32" s="199">
        <f>C34</f>
        <v>4000</v>
      </c>
      <c r="H32" s="199">
        <f>C35</f>
        <v>44000</v>
      </c>
      <c r="I32" s="199">
        <f>C36</f>
        <v>50000</v>
      </c>
      <c r="J32" s="199">
        <f>C37</f>
        <v>100000</v>
      </c>
      <c r="K32" s="268" t="s">
        <v>32</v>
      </c>
      <c r="L32" s="238"/>
    </row>
    <row r="33" spans="1:12" x14ac:dyDescent="0.4">
      <c r="A33" s="92"/>
      <c r="B33" t="s">
        <v>51</v>
      </c>
      <c r="C33" s="197">
        <v>2000</v>
      </c>
      <c r="D33" s="197">
        <v>20595</v>
      </c>
      <c r="E33" s="197">
        <v>17876862</v>
      </c>
      <c r="F33" s="197">
        <f>E33</f>
        <v>17876862</v>
      </c>
      <c r="G33" s="197"/>
      <c r="H33" s="197"/>
      <c r="I33" s="197"/>
      <c r="J33" s="197"/>
      <c r="K33" s="197">
        <f>SUM(F33:J33)</f>
        <v>17876862</v>
      </c>
      <c r="L33" s="238"/>
    </row>
    <row r="34" spans="1:12" x14ac:dyDescent="0.4">
      <c r="A34" s="92"/>
      <c r="B34" t="s">
        <v>52</v>
      </c>
      <c r="C34" s="197">
        <v>4000</v>
      </c>
      <c r="D34" s="197">
        <v>29054</v>
      </c>
      <c r="E34" s="197">
        <v>105196275</v>
      </c>
      <c r="F34" s="197">
        <f>D34*F32</f>
        <v>58108000</v>
      </c>
      <c r="G34" s="197">
        <f>E34-F34</f>
        <v>47088275</v>
      </c>
      <c r="H34" s="197"/>
      <c r="I34" s="197"/>
      <c r="J34" s="197"/>
      <c r="K34" s="197">
        <f t="shared" ref="K34:K37" si="1">SUM(F34:J34)</f>
        <v>105196275</v>
      </c>
      <c r="L34" s="238"/>
    </row>
    <row r="35" spans="1:12" x14ac:dyDescent="0.4">
      <c r="A35" s="92"/>
      <c r="B35" t="s">
        <v>52</v>
      </c>
      <c r="C35" s="197">
        <v>44000</v>
      </c>
      <c r="D35" s="197">
        <v>9538</v>
      </c>
      <c r="E35" s="197">
        <v>99448423</v>
      </c>
      <c r="F35" s="197">
        <f>D35*F32</f>
        <v>19076000</v>
      </c>
      <c r="G35" s="197">
        <f>D35*G32</f>
        <v>38152000</v>
      </c>
      <c r="H35" s="197">
        <f>E35-F35-G35</f>
        <v>42220423</v>
      </c>
      <c r="I35" s="197"/>
      <c r="J35" s="197"/>
      <c r="K35" s="197">
        <f t="shared" si="1"/>
        <v>99448423</v>
      </c>
      <c r="L35" s="238"/>
    </row>
    <row r="36" spans="1:12" x14ac:dyDescent="0.4">
      <c r="A36" s="92"/>
      <c r="B36" t="s">
        <v>52</v>
      </c>
      <c r="C36" s="197">
        <v>50000</v>
      </c>
      <c r="D36" s="197">
        <v>88</v>
      </c>
      <c r="E36" s="197">
        <v>6553607</v>
      </c>
      <c r="F36" s="197">
        <f>D36*F32</f>
        <v>176000</v>
      </c>
      <c r="G36" s="197">
        <f>D36*G32</f>
        <v>352000</v>
      </c>
      <c r="H36" s="197">
        <f>D36*H32</f>
        <v>3872000</v>
      </c>
      <c r="I36" s="197">
        <f>E36-F36-G36-H36</f>
        <v>2153607</v>
      </c>
      <c r="J36" s="197"/>
      <c r="K36" s="197">
        <f t="shared" si="1"/>
        <v>6553607</v>
      </c>
      <c r="L36" s="238"/>
    </row>
    <row r="37" spans="1:12" x14ac:dyDescent="0.4">
      <c r="A37" s="92"/>
      <c r="B37" t="s">
        <v>114</v>
      </c>
      <c r="C37" s="197">
        <f>SUM(C33:C36)</f>
        <v>100000</v>
      </c>
      <c r="D37" s="197">
        <v>64</v>
      </c>
      <c r="E37" s="197">
        <v>8731962</v>
      </c>
      <c r="F37" s="197">
        <f>D37*F32</f>
        <v>128000</v>
      </c>
      <c r="G37" s="197">
        <f>D37*G32</f>
        <v>256000</v>
      </c>
      <c r="H37" s="197">
        <f>H32*D37</f>
        <v>2816000</v>
      </c>
      <c r="I37" s="197">
        <f>I32*D37</f>
        <v>3200000</v>
      </c>
      <c r="J37" s="197">
        <f>E37-F37-G37-H37-I37</f>
        <v>2331962</v>
      </c>
      <c r="K37" s="197">
        <f t="shared" si="1"/>
        <v>8731962</v>
      </c>
      <c r="L37" s="238"/>
    </row>
    <row r="38" spans="1:12" ht="15.4" thickBot="1" x14ac:dyDescent="0.45">
      <c r="A38" s="92"/>
      <c r="D38" s="270">
        <f>SUM(D33:D37)</f>
        <v>59339</v>
      </c>
      <c r="E38" s="270">
        <f t="shared" ref="E38:K38" si="2">SUM(E33:E37)</f>
        <v>237807129</v>
      </c>
      <c r="F38" s="270">
        <f t="shared" si="2"/>
        <v>95364862</v>
      </c>
      <c r="G38" s="270">
        <f t="shared" si="2"/>
        <v>85848275</v>
      </c>
      <c r="H38" s="270">
        <f t="shared" si="2"/>
        <v>48908423</v>
      </c>
      <c r="I38" s="270">
        <f t="shared" si="2"/>
        <v>5353607</v>
      </c>
      <c r="J38" s="270">
        <f t="shared" si="2"/>
        <v>2331962</v>
      </c>
      <c r="K38" s="270">
        <f t="shared" si="2"/>
        <v>237807129</v>
      </c>
      <c r="L38" s="238"/>
    </row>
    <row r="39" spans="1:12" ht="15.4" thickTop="1" x14ac:dyDescent="0.4">
      <c r="A39" s="92"/>
      <c r="D39" s="197"/>
      <c r="E39"/>
      <c r="F39"/>
      <c r="G39"/>
      <c r="I39"/>
      <c r="L39" s="238"/>
    </row>
    <row r="40" spans="1:12" x14ac:dyDescent="0.4">
      <c r="A40" s="92"/>
      <c r="B40" t="s">
        <v>51</v>
      </c>
      <c r="C40" s="197">
        <f>C33</f>
        <v>2000</v>
      </c>
      <c r="D40" t="s">
        <v>188</v>
      </c>
      <c r="E40" s="197">
        <f>D38</f>
        <v>59339</v>
      </c>
      <c r="F40" s="197">
        <f>F38</f>
        <v>95364862</v>
      </c>
      <c r="G40" s="244">
        <f>'YR 2 Rate Comp'!L11</f>
        <v>27.33</v>
      </c>
      <c r="H40" t="s">
        <v>241</v>
      </c>
      <c r="I40" s="197">
        <f>ROUND(E40*G40,2)</f>
        <v>1621734.87</v>
      </c>
      <c r="L40" s="238"/>
    </row>
    <row r="41" spans="1:12" x14ac:dyDescent="0.4">
      <c r="A41" s="92"/>
      <c r="B41" t="s">
        <v>52</v>
      </c>
      <c r="C41" s="197">
        <f>C34</f>
        <v>4000</v>
      </c>
      <c r="D41" t="s">
        <v>188</v>
      </c>
      <c r="E41" s="197"/>
      <c r="F41" s="197">
        <f>G38</f>
        <v>85848275</v>
      </c>
      <c r="G41" s="271">
        <f>'YR 2 Rate Comp'!L12</f>
        <v>7.9100000000000004E-3</v>
      </c>
      <c r="H41" t="s">
        <v>240</v>
      </c>
      <c r="I41" s="197">
        <f>ROUND(F41*G41,2)</f>
        <v>679059.86</v>
      </c>
      <c r="L41" s="238"/>
    </row>
    <row r="42" spans="1:12" x14ac:dyDescent="0.4">
      <c r="A42" s="92"/>
      <c r="B42" t="s">
        <v>52</v>
      </c>
      <c r="C42" s="197">
        <f>C35</f>
        <v>44000</v>
      </c>
      <c r="D42" t="s">
        <v>188</v>
      </c>
      <c r="E42" s="197"/>
      <c r="F42" s="197">
        <f>H38</f>
        <v>48908423</v>
      </c>
      <c r="G42" s="271">
        <f>'YR 2 Rate Comp'!L13</f>
        <v>7.0200000000000002E-3</v>
      </c>
      <c r="H42" t="s">
        <v>240</v>
      </c>
      <c r="I42" s="197">
        <f t="shared" ref="I42:I44" si="3">ROUND(F42*G42,2)</f>
        <v>343337.13</v>
      </c>
      <c r="L42" s="238"/>
    </row>
    <row r="43" spans="1:12" x14ac:dyDescent="0.4">
      <c r="A43" s="92"/>
      <c r="B43" t="s">
        <v>52</v>
      </c>
      <c r="C43" s="197">
        <f>C36</f>
        <v>50000</v>
      </c>
      <c r="D43" t="s">
        <v>188</v>
      </c>
      <c r="E43" s="197"/>
      <c r="F43" s="197">
        <f>I38</f>
        <v>5353607</v>
      </c>
      <c r="G43" s="271">
        <f>'YR 2 Rate Comp'!L14</f>
        <v>6.0400000000000002E-3</v>
      </c>
      <c r="H43" t="s">
        <v>240</v>
      </c>
      <c r="I43" s="197">
        <f t="shared" si="3"/>
        <v>32335.79</v>
      </c>
      <c r="L43" s="238"/>
    </row>
    <row r="44" spans="1:12" x14ac:dyDescent="0.4">
      <c r="A44" s="92"/>
      <c r="B44" t="s">
        <v>114</v>
      </c>
      <c r="C44" s="197">
        <f>C37</f>
        <v>100000</v>
      </c>
      <c r="D44" t="s">
        <v>188</v>
      </c>
      <c r="E44" s="197"/>
      <c r="F44" s="197">
        <f>J38</f>
        <v>2331962</v>
      </c>
      <c r="G44" s="271">
        <f>'YR 2 Rate Comp'!L15</f>
        <v>5.0300000000000006E-3</v>
      </c>
      <c r="H44" t="s">
        <v>240</v>
      </c>
      <c r="I44" s="138">
        <f t="shared" si="3"/>
        <v>11729.77</v>
      </c>
      <c r="L44" s="238"/>
    </row>
    <row r="45" spans="1:12" ht="15.4" thickBot="1" x14ac:dyDescent="0.45">
      <c r="A45" s="92"/>
      <c r="B45" t="s">
        <v>348</v>
      </c>
      <c r="D45"/>
      <c r="E45" s="270">
        <f>SUM(E40:E44)</f>
        <v>59339</v>
      </c>
      <c r="F45" s="270">
        <f>SUM(F40:F44)</f>
        <v>237807129</v>
      </c>
      <c r="G45"/>
      <c r="H45"/>
      <c r="I45" s="214">
        <f>SUM(I40:I44)</f>
        <v>2688197.42</v>
      </c>
      <c r="L45" s="238"/>
    </row>
    <row r="46" spans="1:12" ht="15.4" thickTop="1" x14ac:dyDescent="0.4">
      <c r="A46" s="92"/>
      <c r="L46" s="238"/>
    </row>
    <row r="47" spans="1:12" x14ac:dyDescent="0.4">
      <c r="A47" s="92"/>
      <c r="B47" s="592" t="s">
        <v>349</v>
      </c>
      <c r="L47" s="238"/>
    </row>
    <row r="48" spans="1:12" x14ac:dyDescent="0.4">
      <c r="A48" s="92"/>
      <c r="C48" s="197"/>
      <c r="D48" s="268" t="s">
        <v>187</v>
      </c>
      <c r="E48" s="258" t="s">
        <v>188</v>
      </c>
      <c r="F48" s="199">
        <f>C49</f>
        <v>5000</v>
      </c>
      <c r="G48" s="199">
        <f>C50</f>
        <v>1000</v>
      </c>
      <c r="H48" s="199">
        <f>C51</f>
        <v>44000</v>
      </c>
      <c r="I48" s="199">
        <f>C52</f>
        <v>50000</v>
      </c>
      <c r="J48" s="199">
        <f>C53</f>
        <v>100000</v>
      </c>
      <c r="K48" s="268" t="s">
        <v>32</v>
      </c>
      <c r="L48" s="238"/>
    </row>
    <row r="49" spans="1:12" x14ac:dyDescent="0.4">
      <c r="A49" s="92"/>
      <c r="B49" t="s">
        <v>51</v>
      </c>
      <c r="C49" s="197">
        <v>5000</v>
      </c>
      <c r="D49" s="197">
        <v>341</v>
      </c>
      <c r="E49" s="197">
        <v>790645</v>
      </c>
      <c r="F49" s="197">
        <f>E49</f>
        <v>790645</v>
      </c>
      <c r="G49" s="197"/>
      <c r="H49" s="197"/>
      <c r="I49" s="197"/>
      <c r="J49" s="197"/>
      <c r="K49" s="197">
        <f>SUM(F49:J49)</f>
        <v>790645</v>
      </c>
      <c r="L49" s="238"/>
    </row>
    <row r="50" spans="1:12" x14ac:dyDescent="0.4">
      <c r="A50" s="92"/>
      <c r="B50" t="s">
        <v>52</v>
      </c>
      <c r="C50" s="197">
        <v>1000</v>
      </c>
      <c r="D50" s="197">
        <v>54</v>
      </c>
      <c r="E50" s="197">
        <v>295341</v>
      </c>
      <c r="F50" s="197">
        <f>D50*F48</f>
        <v>270000</v>
      </c>
      <c r="G50" s="197">
        <f>E50-F50</f>
        <v>25341</v>
      </c>
      <c r="H50" s="197"/>
      <c r="I50" s="197"/>
      <c r="J50" s="197"/>
      <c r="K50" s="197">
        <f t="shared" ref="K50:K53" si="4">SUM(F50:J50)</f>
        <v>295341</v>
      </c>
      <c r="L50" s="238"/>
    </row>
    <row r="51" spans="1:12" x14ac:dyDescent="0.4">
      <c r="A51" s="92"/>
      <c r="B51" t="s">
        <v>52</v>
      </c>
      <c r="C51" s="197">
        <v>44000</v>
      </c>
      <c r="D51" s="197">
        <v>248</v>
      </c>
      <c r="E51" s="197">
        <v>3636306</v>
      </c>
      <c r="F51" s="197">
        <f>D51*F48</f>
        <v>1240000</v>
      </c>
      <c r="G51" s="197">
        <f>D51*G48</f>
        <v>248000</v>
      </c>
      <c r="H51" s="197">
        <f>E51-F51-G51</f>
        <v>2148306</v>
      </c>
      <c r="I51" s="197"/>
      <c r="J51" s="197"/>
      <c r="K51" s="197">
        <f t="shared" si="4"/>
        <v>3636306</v>
      </c>
      <c r="L51" s="238"/>
    </row>
    <row r="52" spans="1:12" x14ac:dyDescent="0.4">
      <c r="A52" s="92"/>
      <c r="B52" t="s">
        <v>52</v>
      </c>
      <c r="C52" s="197">
        <v>50000</v>
      </c>
      <c r="D52" s="197">
        <v>54</v>
      </c>
      <c r="E52" s="197">
        <v>3908284</v>
      </c>
      <c r="F52" s="197">
        <f>D52*F48</f>
        <v>270000</v>
      </c>
      <c r="G52" s="197">
        <f>D52*G48</f>
        <v>54000</v>
      </c>
      <c r="H52" s="197">
        <f>D52*H48</f>
        <v>2376000</v>
      </c>
      <c r="I52" s="197">
        <f>E52-F52-G52-H52</f>
        <v>1208284</v>
      </c>
      <c r="J52" s="197"/>
      <c r="K52" s="197">
        <f t="shared" si="4"/>
        <v>3908284</v>
      </c>
      <c r="L52" s="238"/>
    </row>
    <row r="53" spans="1:12" x14ac:dyDescent="0.4">
      <c r="A53" s="92"/>
      <c r="B53" t="s">
        <v>114</v>
      </c>
      <c r="C53" s="197">
        <f>SUM(C49:C52)</f>
        <v>100000</v>
      </c>
      <c r="D53" s="197">
        <v>44</v>
      </c>
      <c r="E53" s="197">
        <v>7016157</v>
      </c>
      <c r="F53" s="197">
        <f>D53*F48</f>
        <v>220000</v>
      </c>
      <c r="G53" s="197">
        <f>D53*G48</f>
        <v>44000</v>
      </c>
      <c r="H53" s="197">
        <f>H48*D53</f>
        <v>1936000</v>
      </c>
      <c r="I53" s="197">
        <f>I48*D53</f>
        <v>2200000</v>
      </c>
      <c r="J53" s="197">
        <f>E53-F53-G53-H53-I53</f>
        <v>2616157</v>
      </c>
      <c r="K53" s="197">
        <f t="shared" si="4"/>
        <v>7016157</v>
      </c>
      <c r="L53" s="238"/>
    </row>
    <row r="54" spans="1:12" ht="15.4" thickBot="1" x14ac:dyDescent="0.45">
      <c r="A54" s="92"/>
      <c r="C54" s="197"/>
      <c r="D54" s="270">
        <f>SUM(D49:D53)</f>
        <v>741</v>
      </c>
      <c r="E54" s="270">
        <f t="shared" ref="E54:K54" si="5">SUM(E49:E53)</f>
        <v>15646733</v>
      </c>
      <c r="F54" s="270">
        <f t="shared" si="5"/>
        <v>2790645</v>
      </c>
      <c r="G54" s="270">
        <f t="shared" si="5"/>
        <v>371341</v>
      </c>
      <c r="H54" s="270">
        <f t="shared" si="5"/>
        <v>6460306</v>
      </c>
      <c r="I54" s="270">
        <f t="shared" si="5"/>
        <v>3408284</v>
      </c>
      <c r="J54" s="270">
        <f t="shared" si="5"/>
        <v>2616157</v>
      </c>
      <c r="K54" s="270">
        <f t="shared" si="5"/>
        <v>15646733</v>
      </c>
      <c r="L54" s="238"/>
    </row>
    <row r="55" spans="1:12" ht="15.4" thickTop="1" x14ac:dyDescent="0.4">
      <c r="A55" s="92"/>
      <c r="C55" s="197"/>
      <c r="E55"/>
      <c r="F55"/>
      <c r="G55"/>
      <c r="I55"/>
      <c r="L55" s="238"/>
    </row>
    <row r="56" spans="1:12" x14ac:dyDescent="0.4">
      <c r="A56" s="92"/>
      <c r="B56" t="s">
        <v>51</v>
      </c>
      <c r="C56" s="197">
        <f>C49</f>
        <v>5000</v>
      </c>
      <c r="D56" t="s">
        <v>188</v>
      </c>
      <c r="E56" s="197">
        <f>D54</f>
        <v>741</v>
      </c>
      <c r="F56" s="197">
        <f>F54</f>
        <v>2790645</v>
      </c>
      <c r="G56" s="244">
        <f>'YR 2 Rate Comp'!L18</f>
        <v>51.89</v>
      </c>
      <c r="H56" t="s">
        <v>241</v>
      </c>
      <c r="I56" s="138">
        <f>ROUND(E56*G56,2)</f>
        <v>38450.49</v>
      </c>
      <c r="L56" s="238"/>
    </row>
    <row r="57" spans="1:12" x14ac:dyDescent="0.4">
      <c r="A57" s="92"/>
      <c r="B57" t="s">
        <v>52</v>
      </c>
      <c r="C57" s="197">
        <f t="shared" ref="C57:C60" si="6">C50</f>
        <v>1000</v>
      </c>
      <c r="D57" t="s">
        <v>188</v>
      </c>
      <c r="E57" s="197"/>
      <c r="F57" s="197">
        <f>G54</f>
        <v>371341</v>
      </c>
      <c r="G57" s="271">
        <f>'YR 2 Rate Comp'!L19</f>
        <v>7.9100000000000004E-3</v>
      </c>
      <c r="H57" t="s">
        <v>240</v>
      </c>
      <c r="I57" s="138">
        <f>ROUND(F57*G57,2)</f>
        <v>2937.31</v>
      </c>
      <c r="L57" s="238"/>
    </row>
    <row r="58" spans="1:12" x14ac:dyDescent="0.4">
      <c r="A58" s="92"/>
      <c r="B58" t="s">
        <v>52</v>
      </c>
      <c r="C58" s="197">
        <f t="shared" si="6"/>
        <v>44000</v>
      </c>
      <c r="D58" t="s">
        <v>188</v>
      </c>
      <c r="E58" s="197"/>
      <c r="F58" s="197">
        <f>H54</f>
        <v>6460306</v>
      </c>
      <c r="G58" s="271">
        <f>'YR 2 Rate Comp'!L20</f>
        <v>7.0200000000000002E-3</v>
      </c>
      <c r="H58" t="s">
        <v>240</v>
      </c>
      <c r="I58" s="138">
        <f t="shared" ref="I58:I60" si="7">ROUND(F58*G58,2)</f>
        <v>45351.35</v>
      </c>
      <c r="L58" s="238"/>
    </row>
    <row r="59" spans="1:12" x14ac:dyDescent="0.4">
      <c r="A59" s="92"/>
      <c r="B59" t="s">
        <v>52</v>
      </c>
      <c r="C59" s="197">
        <f t="shared" si="6"/>
        <v>50000</v>
      </c>
      <c r="D59" t="s">
        <v>188</v>
      </c>
      <c r="E59" s="197"/>
      <c r="F59" s="197">
        <f>I54</f>
        <v>3408284</v>
      </c>
      <c r="G59" s="271">
        <f>'YR 2 Rate Comp'!L21</f>
        <v>6.0400000000000002E-3</v>
      </c>
      <c r="H59" t="s">
        <v>240</v>
      </c>
      <c r="I59" s="138">
        <f t="shared" si="7"/>
        <v>20586.04</v>
      </c>
      <c r="L59" s="238"/>
    </row>
    <row r="60" spans="1:12" x14ac:dyDescent="0.4">
      <c r="A60" s="92"/>
      <c r="B60" t="s">
        <v>114</v>
      </c>
      <c r="C60" s="197">
        <f t="shared" si="6"/>
        <v>100000</v>
      </c>
      <c r="D60" t="s">
        <v>188</v>
      </c>
      <c r="E60" s="197"/>
      <c r="F60" s="197">
        <f>J54</f>
        <v>2616157</v>
      </c>
      <c r="G60" s="271">
        <f>'YR 2 Rate Comp'!L22</f>
        <v>5.0300000000000006E-3</v>
      </c>
      <c r="H60" t="s">
        <v>240</v>
      </c>
      <c r="I60" s="138">
        <f t="shared" si="7"/>
        <v>13159.27</v>
      </c>
      <c r="L60" s="238"/>
    </row>
    <row r="61" spans="1:12" ht="15.4" thickBot="1" x14ac:dyDescent="0.45">
      <c r="A61" s="92"/>
      <c r="B61" s="116" t="s">
        <v>735</v>
      </c>
      <c r="C61" s="197"/>
      <c r="D61"/>
      <c r="E61" s="270">
        <f>SUM(E56:E60)</f>
        <v>741</v>
      </c>
      <c r="F61" s="270">
        <f>SUM(F56:F60)</f>
        <v>15646733</v>
      </c>
      <c r="G61"/>
      <c r="H61"/>
      <c r="I61" s="214">
        <f>SUM(I56:I60)</f>
        <v>120484.46</v>
      </c>
      <c r="L61" s="238"/>
    </row>
    <row r="62" spans="1:12" ht="15.4" thickTop="1" x14ac:dyDescent="0.4">
      <c r="A62" s="92"/>
      <c r="L62" s="238"/>
    </row>
    <row r="63" spans="1:12" x14ac:dyDescent="0.4">
      <c r="A63" s="92"/>
      <c r="B63" s="592" t="s">
        <v>350</v>
      </c>
      <c r="L63" s="238"/>
    </row>
    <row r="64" spans="1:12" x14ac:dyDescent="0.4">
      <c r="A64" s="92"/>
      <c r="C64" s="197"/>
      <c r="E64" s="268" t="s">
        <v>187</v>
      </c>
      <c r="F64" s="258" t="s">
        <v>188</v>
      </c>
      <c r="G64" s="199">
        <f>C65</f>
        <v>10000</v>
      </c>
      <c r="H64" s="199">
        <f>C66</f>
        <v>40000</v>
      </c>
      <c r="I64" s="199">
        <f>C67</f>
        <v>50000</v>
      </c>
      <c r="J64" s="199">
        <f>C68</f>
        <v>100000</v>
      </c>
      <c r="K64" s="268" t="s">
        <v>32</v>
      </c>
      <c r="L64" s="238"/>
    </row>
    <row r="65" spans="1:12" x14ac:dyDescent="0.4">
      <c r="A65" s="92"/>
      <c r="B65" t="s">
        <v>51</v>
      </c>
      <c r="C65" s="197">
        <v>10000</v>
      </c>
      <c r="D65" t="s">
        <v>188</v>
      </c>
      <c r="E65" s="197">
        <v>3</v>
      </c>
      <c r="F65" s="197">
        <v>22341</v>
      </c>
      <c r="G65" s="197">
        <f>F65</f>
        <v>22341</v>
      </c>
      <c r="H65" s="197"/>
      <c r="I65" s="197"/>
      <c r="J65" s="197"/>
      <c r="K65" s="197">
        <f>SUM(G65:J65)</f>
        <v>22341</v>
      </c>
      <c r="L65" s="238"/>
    </row>
    <row r="66" spans="1:12" x14ac:dyDescent="0.4">
      <c r="A66" s="92"/>
      <c r="B66" t="s">
        <v>52</v>
      </c>
      <c r="C66" s="197">
        <v>40000</v>
      </c>
      <c r="D66" t="s">
        <v>188</v>
      </c>
      <c r="E66" s="197">
        <v>21</v>
      </c>
      <c r="F66" s="197">
        <v>518243</v>
      </c>
      <c r="G66" s="197">
        <f>E66*G64</f>
        <v>210000</v>
      </c>
      <c r="H66" s="197">
        <f>F66-G66</f>
        <v>308243</v>
      </c>
      <c r="I66" s="197"/>
      <c r="J66" s="197"/>
      <c r="K66" s="197">
        <f>SUM(G66:J66)</f>
        <v>518243</v>
      </c>
      <c r="L66" s="238"/>
    </row>
    <row r="67" spans="1:12" x14ac:dyDescent="0.4">
      <c r="A67" s="92"/>
      <c r="B67" t="s">
        <v>52</v>
      </c>
      <c r="C67" s="197">
        <v>50000</v>
      </c>
      <c r="D67" t="s">
        <v>188</v>
      </c>
      <c r="E67" s="197">
        <v>3</v>
      </c>
      <c r="F67" s="197">
        <v>255307</v>
      </c>
      <c r="G67" s="197">
        <f>E67*G64</f>
        <v>30000</v>
      </c>
      <c r="H67" s="197">
        <f>E67*H64</f>
        <v>120000</v>
      </c>
      <c r="I67" s="197">
        <f>F67-G67-H67</f>
        <v>105307</v>
      </c>
      <c r="J67" s="197"/>
      <c r="K67" s="197">
        <f>SUM(G67:J67)</f>
        <v>255307</v>
      </c>
      <c r="L67" s="238"/>
    </row>
    <row r="68" spans="1:12" x14ac:dyDescent="0.4">
      <c r="A68" s="92"/>
      <c r="B68" t="s">
        <v>114</v>
      </c>
      <c r="C68" s="197">
        <f>SUM(C65:C67)</f>
        <v>100000</v>
      </c>
      <c r="D68" t="s">
        <v>188</v>
      </c>
      <c r="E68" s="197">
        <v>23</v>
      </c>
      <c r="F68" s="197">
        <v>9866500</v>
      </c>
      <c r="G68" s="197">
        <f>E68*G64</f>
        <v>230000</v>
      </c>
      <c r="H68" s="197">
        <f>H64*E68</f>
        <v>920000</v>
      </c>
      <c r="I68" s="197">
        <f>I64*E68</f>
        <v>1150000</v>
      </c>
      <c r="J68" s="197">
        <f>F68-G68-H68-I68</f>
        <v>7566500</v>
      </c>
      <c r="K68" s="197">
        <f>SUM(G68:J68)</f>
        <v>9866500</v>
      </c>
      <c r="L68" s="238"/>
    </row>
    <row r="69" spans="1:12" ht="15.4" thickBot="1" x14ac:dyDescent="0.45">
      <c r="A69" s="92"/>
      <c r="C69" s="197"/>
      <c r="E69" s="270">
        <f t="shared" ref="E69:K69" si="8">SUM(E65:E68)</f>
        <v>50</v>
      </c>
      <c r="F69" s="270">
        <f t="shared" si="8"/>
        <v>10662391</v>
      </c>
      <c r="G69" s="270">
        <f t="shared" si="8"/>
        <v>492341</v>
      </c>
      <c r="H69" s="270">
        <f t="shared" si="8"/>
        <v>1348243</v>
      </c>
      <c r="I69" s="270">
        <f t="shared" si="8"/>
        <v>1255307</v>
      </c>
      <c r="J69" s="270">
        <f t="shared" si="8"/>
        <v>7566500</v>
      </c>
      <c r="K69" s="270">
        <f t="shared" si="8"/>
        <v>10662391</v>
      </c>
      <c r="L69" s="238"/>
    </row>
    <row r="70" spans="1:12" ht="15.4" thickTop="1" x14ac:dyDescent="0.4">
      <c r="A70" s="92"/>
      <c r="C70" s="197"/>
      <c r="F70"/>
      <c r="G70"/>
      <c r="H70"/>
      <c r="I70"/>
      <c r="L70" s="238"/>
    </row>
    <row r="71" spans="1:12" x14ac:dyDescent="0.4">
      <c r="A71" s="92"/>
      <c r="B71" t="s">
        <v>51</v>
      </c>
      <c r="C71" s="197">
        <f>C65</f>
        <v>10000</v>
      </c>
      <c r="D71" t="s">
        <v>188</v>
      </c>
      <c r="E71" s="197">
        <f>E69</f>
        <v>50</v>
      </c>
      <c r="F71" s="197">
        <f>G69</f>
        <v>492341</v>
      </c>
      <c r="G71" s="244">
        <f>'YR 2 Rate Comp'!L25</f>
        <v>92.71</v>
      </c>
      <c r="H71" t="s">
        <v>241</v>
      </c>
      <c r="I71" s="197">
        <f>ROUND(E71*G71,2)</f>
        <v>4635.5</v>
      </c>
      <c r="J71" s="197"/>
      <c r="L71" s="238"/>
    </row>
    <row r="72" spans="1:12" x14ac:dyDescent="0.4">
      <c r="A72" s="92"/>
      <c r="B72" t="s">
        <v>52</v>
      </c>
      <c r="C72" s="197">
        <f t="shared" ref="C72:C74" si="9">C66</f>
        <v>40000</v>
      </c>
      <c r="D72" t="s">
        <v>188</v>
      </c>
      <c r="E72" s="197"/>
      <c r="F72" s="197">
        <f>H69</f>
        <v>1348243</v>
      </c>
      <c r="G72" s="271">
        <f>'YR 2 Rate Comp'!L26</f>
        <v>7.0200000000000002E-3</v>
      </c>
      <c r="H72" t="s">
        <v>240</v>
      </c>
      <c r="I72" s="197">
        <f t="shared" ref="I72:I74" si="10">ROUND(F72*G72,2)</f>
        <v>9464.67</v>
      </c>
      <c r="J72" s="197"/>
      <c r="L72" s="238"/>
    </row>
    <row r="73" spans="1:12" x14ac:dyDescent="0.4">
      <c r="A73" s="92"/>
      <c r="B73" t="s">
        <v>52</v>
      </c>
      <c r="C73" s="197">
        <f t="shared" si="9"/>
        <v>50000</v>
      </c>
      <c r="D73" t="s">
        <v>188</v>
      </c>
      <c r="E73" s="197"/>
      <c r="F73" s="197">
        <f>I69</f>
        <v>1255307</v>
      </c>
      <c r="G73" s="271">
        <f>'YR 2 Rate Comp'!L27</f>
        <v>6.0400000000000002E-3</v>
      </c>
      <c r="H73" t="s">
        <v>240</v>
      </c>
      <c r="I73" s="197">
        <f t="shared" si="10"/>
        <v>7582.05</v>
      </c>
      <c r="J73" s="197"/>
      <c r="L73" s="238"/>
    </row>
    <row r="74" spans="1:12" x14ac:dyDescent="0.4">
      <c r="A74" s="92"/>
      <c r="B74" t="s">
        <v>114</v>
      </c>
      <c r="C74" s="197">
        <f t="shared" si="9"/>
        <v>100000</v>
      </c>
      <c r="D74" t="s">
        <v>188</v>
      </c>
      <c r="E74" s="197"/>
      <c r="F74" s="197">
        <f>J68</f>
        <v>7566500</v>
      </c>
      <c r="G74" s="271">
        <f>'YR 2 Rate Comp'!L28</f>
        <v>5.0300000000000006E-3</v>
      </c>
      <c r="H74" t="s">
        <v>240</v>
      </c>
      <c r="I74" s="213">
        <f t="shared" si="10"/>
        <v>38059.5</v>
      </c>
      <c r="J74" s="197"/>
      <c r="L74" s="238"/>
    </row>
    <row r="75" spans="1:12" ht="15.4" thickBot="1" x14ac:dyDescent="0.45">
      <c r="A75" s="92"/>
      <c r="B75" s="116" t="s">
        <v>734</v>
      </c>
      <c r="C75" s="197"/>
      <c r="E75" s="270">
        <f>SUM(E71:E74)</f>
        <v>50</v>
      </c>
      <c r="F75" s="270">
        <f>SUM(F71:F74)</f>
        <v>10662391</v>
      </c>
      <c r="G75"/>
      <c r="H75"/>
      <c r="I75" s="214">
        <f>SUM(I71:I74)</f>
        <v>59741.72</v>
      </c>
      <c r="J75" s="197"/>
      <c r="L75" s="238"/>
    </row>
    <row r="76" spans="1:12" ht="15.4" thickTop="1" x14ac:dyDescent="0.4">
      <c r="A76" s="248"/>
      <c r="B76" s="136"/>
      <c r="C76" s="136"/>
      <c r="D76" s="213"/>
      <c r="E76" s="213"/>
      <c r="F76" s="213"/>
      <c r="G76" s="213"/>
      <c r="H76" s="213"/>
      <c r="I76" s="213"/>
      <c r="J76" s="213"/>
      <c r="K76" s="213"/>
      <c r="L76" s="249"/>
    </row>
    <row r="77" spans="1:12" x14ac:dyDescent="0.4">
      <c r="A77" s="246"/>
      <c r="B77" s="654" t="s">
        <v>742</v>
      </c>
      <c r="C77" s="654"/>
      <c r="D77" s="654"/>
      <c r="E77" s="654"/>
      <c r="F77" s="654"/>
      <c r="G77" s="654"/>
      <c r="H77" s="654"/>
      <c r="I77" s="654"/>
      <c r="J77" s="654"/>
      <c r="K77" s="654"/>
      <c r="L77" s="247"/>
    </row>
    <row r="78" spans="1:12" x14ac:dyDescent="0.4">
      <c r="A78" s="92"/>
      <c r="L78" s="238"/>
    </row>
    <row r="79" spans="1:12" x14ac:dyDescent="0.4">
      <c r="A79" s="92"/>
      <c r="B79" s="592" t="s">
        <v>336</v>
      </c>
      <c r="L79" s="238"/>
    </row>
    <row r="80" spans="1:12" x14ac:dyDescent="0.4">
      <c r="A80" s="92"/>
      <c r="C80" s="197"/>
      <c r="E80" s="268" t="s">
        <v>187</v>
      </c>
      <c r="F80" s="258" t="s">
        <v>188</v>
      </c>
      <c r="G80" s="199">
        <f>C81</f>
        <v>16000</v>
      </c>
      <c r="H80" s="199">
        <f>C82</f>
        <v>34000</v>
      </c>
      <c r="I80" s="199">
        <f>C83</f>
        <v>50000</v>
      </c>
      <c r="J80" s="199">
        <f>C84</f>
        <v>100000</v>
      </c>
      <c r="K80" s="268" t="s">
        <v>32</v>
      </c>
      <c r="L80" s="238"/>
    </row>
    <row r="81" spans="1:12" x14ac:dyDescent="0.4">
      <c r="A81" s="92"/>
      <c r="B81" t="s">
        <v>51</v>
      </c>
      <c r="C81" s="197">
        <v>16000</v>
      </c>
      <c r="D81" t="s">
        <v>188</v>
      </c>
      <c r="E81" s="197">
        <v>18</v>
      </c>
      <c r="F81" s="197">
        <v>93348</v>
      </c>
      <c r="G81" s="197">
        <f>F81</f>
        <v>93348</v>
      </c>
      <c r="H81" s="197"/>
      <c r="I81" s="197"/>
      <c r="J81" s="197"/>
      <c r="K81" s="197">
        <f>SUM(G81:J81)</f>
        <v>93348</v>
      </c>
      <c r="L81" s="238"/>
    </row>
    <row r="82" spans="1:12" x14ac:dyDescent="0.4">
      <c r="A82" s="92"/>
      <c r="B82" t="s">
        <v>52</v>
      </c>
      <c r="C82" s="197">
        <v>34000</v>
      </c>
      <c r="D82" t="s">
        <v>188</v>
      </c>
      <c r="E82" s="197">
        <v>17</v>
      </c>
      <c r="F82" s="197">
        <v>510798</v>
      </c>
      <c r="G82" s="197">
        <f>E82*G80</f>
        <v>272000</v>
      </c>
      <c r="H82" s="197">
        <f>F82-G82</f>
        <v>238798</v>
      </c>
      <c r="I82" s="197"/>
      <c r="J82" s="197"/>
      <c r="K82" s="197">
        <f>SUM(G82:J82)</f>
        <v>510798</v>
      </c>
      <c r="L82" s="238"/>
    </row>
    <row r="83" spans="1:12" x14ac:dyDescent="0.4">
      <c r="A83" s="92"/>
      <c r="B83" t="s">
        <v>52</v>
      </c>
      <c r="C83" s="197">
        <v>50000</v>
      </c>
      <c r="D83" t="s">
        <v>188</v>
      </c>
      <c r="E83" s="197">
        <v>33</v>
      </c>
      <c r="F83" s="197">
        <v>2074154</v>
      </c>
      <c r="G83" s="197">
        <f>E83*G80</f>
        <v>528000</v>
      </c>
      <c r="H83" s="197">
        <f>E83*H80</f>
        <v>1122000</v>
      </c>
      <c r="I83" s="197">
        <f>F83-G83-H83</f>
        <v>424154</v>
      </c>
      <c r="J83" s="197"/>
      <c r="K83" s="197">
        <f>SUM(G83:J83)</f>
        <v>2074154</v>
      </c>
      <c r="L83" s="238"/>
    </row>
    <row r="84" spans="1:12" x14ac:dyDescent="0.4">
      <c r="A84" s="92"/>
      <c r="B84" t="s">
        <v>114</v>
      </c>
      <c r="C84" s="197">
        <f>SUM(C81:C83)</f>
        <v>100000</v>
      </c>
      <c r="D84" t="s">
        <v>188</v>
      </c>
      <c r="E84" s="197">
        <v>4</v>
      </c>
      <c r="F84" s="197">
        <v>517789</v>
      </c>
      <c r="G84" s="197">
        <f>E84*G80</f>
        <v>64000</v>
      </c>
      <c r="H84" s="197">
        <f>H80*E84</f>
        <v>136000</v>
      </c>
      <c r="I84" s="197">
        <f>I80*E84</f>
        <v>200000</v>
      </c>
      <c r="J84" s="197">
        <f>F84-G84-H84-I84</f>
        <v>117789</v>
      </c>
      <c r="K84" s="197">
        <f>SUM(G84:J84)</f>
        <v>517789</v>
      </c>
      <c r="L84" s="238"/>
    </row>
    <row r="85" spans="1:12" ht="15.4" thickBot="1" x14ac:dyDescent="0.45">
      <c r="A85" s="92"/>
      <c r="C85" s="197"/>
      <c r="E85" s="270">
        <f t="shared" ref="E85:K85" si="11">SUM(E81:E84)</f>
        <v>72</v>
      </c>
      <c r="F85" s="270">
        <f t="shared" si="11"/>
        <v>3196089</v>
      </c>
      <c r="G85" s="270">
        <f t="shared" si="11"/>
        <v>957348</v>
      </c>
      <c r="H85" s="270">
        <f t="shared" si="11"/>
        <v>1496798</v>
      </c>
      <c r="I85" s="270">
        <f t="shared" si="11"/>
        <v>624154</v>
      </c>
      <c r="J85" s="270">
        <f t="shared" si="11"/>
        <v>117789</v>
      </c>
      <c r="K85" s="270">
        <f t="shared" si="11"/>
        <v>3196089</v>
      </c>
      <c r="L85" s="238"/>
    </row>
    <row r="86" spans="1:12" ht="15.4" thickTop="1" x14ac:dyDescent="0.4">
      <c r="A86" s="92"/>
      <c r="C86" s="197"/>
      <c r="D86" s="197"/>
      <c r="E86" s="197"/>
      <c r="F86" s="197"/>
      <c r="G86" s="197"/>
      <c r="H86" s="197"/>
      <c r="I86" s="197"/>
      <c r="J86" s="197"/>
      <c r="L86" s="238"/>
    </row>
    <row r="87" spans="1:12" x14ac:dyDescent="0.4">
      <c r="A87" s="92"/>
      <c r="B87" t="s">
        <v>51</v>
      </c>
      <c r="C87" s="197">
        <v>16000</v>
      </c>
      <c r="D87" t="s">
        <v>188</v>
      </c>
      <c r="E87" s="197">
        <f>E85</f>
        <v>72</v>
      </c>
      <c r="F87" s="197">
        <f>G85</f>
        <v>957348</v>
      </c>
      <c r="G87" s="244">
        <f>'YR 2 Rate Comp'!L31</f>
        <v>136.09</v>
      </c>
      <c r="H87" t="s">
        <v>241</v>
      </c>
      <c r="I87" s="197">
        <f>ROUND(E87*G87,2)</f>
        <v>9798.48</v>
      </c>
      <c r="J87" s="197"/>
      <c r="L87" s="238"/>
    </row>
    <row r="88" spans="1:12" x14ac:dyDescent="0.4">
      <c r="A88" s="92"/>
      <c r="B88" t="s">
        <v>52</v>
      </c>
      <c r="C88" s="197">
        <v>184000</v>
      </c>
      <c r="D88" t="s">
        <v>188</v>
      </c>
      <c r="E88" s="197"/>
      <c r="F88" s="197">
        <f>H85</f>
        <v>1496798</v>
      </c>
      <c r="G88" s="271">
        <f>'YR 2 Rate Comp'!L32</f>
        <v>7.0200000000000002E-3</v>
      </c>
      <c r="H88" t="s">
        <v>240</v>
      </c>
      <c r="I88" s="197">
        <f t="shared" ref="I88:I90" si="12">ROUND(F88*G88,2)</f>
        <v>10507.52</v>
      </c>
      <c r="J88" s="197"/>
      <c r="L88" s="238"/>
    </row>
    <row r="89" spans="1:12" x14ac:dyDescent="0.4">
      <c r="A89" s="92"/>
      <c r="B89" t="s">
        <v>52</v>
      </c>
      <c r="C89" s="197">
        <v>400000</v>
      </c>
      <c r="D89" t="s">
        <v>188</v>
      </c>
      <c r="E89" s="197"/>
      <c r="F89" s="197">
        <f>I85</f>
        <v>624154</v>
      </c>
      <c r="G89" s="271">
        <f>'YR 2 Rate Comp'!L33</f>
        <v>6.0400000000000002E-3</v>
      </c>
      <c r="H89" t="s">
        <v>240</v>
      </c>
      <c r="I89" s="197">
        <f t="shared" si="12"/>
        <v>3769.89</v>
      </c>
      <c r="J89" s="197"/>
      <c r="L89" s="238"/>
    </row>
    <row r="90" spans="1:12" x14ac:dyDescent="0.4">
      <c r="A90" s="92"/>
      <c r="B90" t="s">
        <v>114</v>
      </c>
      <c r="C90" s="197">
        <v>600000</v>
      </c>
      <c r="D90" t="s">
        <v>188</v>
      </c>
      <c r="E90" s="197"/>
      <c r="F90" s="197">
        <f>J85</f>
        <v>117789</v>
      </c>
      <c r="G90" s="271">
        <f>'YR 2 Rate Comp'!L34</f>
        <v>5.0300000000000006E-3</v>
      </c>
      <c r="H90" t="s">
        <v>240</v>
      </c>
      <c r="I90" s="213">
        <f t="shared" si="12"/>
        <v>592.48</v>
      </c>
      <c r="J90" s="197"/>
      <c r="L90" s="238"/>
    </row>
    <row r="91" spans="1:12" ht="15.4" thickBot="1" x14ac:dyDescent="0.45">
      <c r="A91" s="92"/>
      <c r="B91" s="116" t="s">
        <v>736</v>
      </c>
      <c r="C91" s="197"/>
      <c r="D91"/>
      <c r="E91" s="270">
        <f>SUM(E87:E90)</f>
        <v>72</v>
      </c>
      <c r="F91" s="270">
        <f>SUM(F87:F90)</f>
        <v>3196089</v>
      </c>
      <c r="G91"/>
      <c r="H91"/>
      <c r="I91" s="214">
        <f>SUM(I87:I90)</f>
        <v>24668.37</v>
      </c>
      <c r="J91" s="197"/>
      <c r="L91" s="238"/>
    </row>
    <row r="92" spans="1:12" ht="15.4" thickTop="1" x14ac:dyDescent="0.4">
      <c r="A92" s="92"/>
      <c r="L92" s="238"/>
    </row>
    <row r="93" spans="1:12" x14ac:dyDescent="0.4">
      <c r="A93" s="92"/>
      <c r="B93" s="592" t="s">
        <v>338</v>
      </c>
      <c r="L93" s="238"/>
    </row>
    <row r="94" spans="1:12" x14ac:dyDescent="0.4">
      <c r="A94" s="92"/>
      <c r="C94" s="197"/>
      <c r="D94" s="268" t="s">
        <v>187</v>
      </c>
      <c r="E94" s="258" t="s">
        <v>188</v>
      </c>
      <c r="F94" s="199">
        <f>C95</f>
        <v>30000</v>
      </c>
      <c r="G94" s="199">
        <f>C96</f>
        <v>20000</v>
      </c>
      <c r="H94" s="199">
        <f>C97</f>
        <v>50000</v>
      </c>
      <c r="I94" s="199">
        <f>C98</f>
        <v>100000</v>
      </c>
      <c r="L94" s="238"/>
    </row>
    <row r="95" spans="1:12" x14ac:dyDescent="0.4">
      <c r="A95" s="92"/>
      <c r="B95" t="s">
        <v>51</v>
      </c>
      <c r="C95" s="197">
        <v>30000</v>
      </c>
      <c r="D95" s="197">
        <v>2</v>
      </c>
      <c r="E95" s="197">
        <v>17069</v>
      </c>
      <c r="F95" s="197">
        <f>E95</f>
        <v>17069</v>
      </c>
      <c r="G95" s="197"/>
      <c r="H95" s="197"/>
      <c r="I95" s="197"/>
      <c r="L95" s="238"/>
    </row>
    <row r="96" spans="1:12" x14ac:dyDescent="0.4">
      <c r="A96" s="92"/>
      <c r="B96" t="s">
        <v>52</v>
      </c>
      <c r="C96" s="197">
        <v>20000</v>
      </c>
      <c r="D96" s="197">
        <v>2</v>
      </c>
      <c r="E96" s="197">
        <v>75910</v>
      </c>
      <c r="F96" s="197">
        <f>D96*F94</f>
        <v>60000</v>
      </c>
      <c r="G96" s="197">
        <f>E96-F96</f>
        <v>15910</v>
      </c>
      <c r="H96" s="197"/>
      <c r="I96" s="197"/>
      <c r="L96" s="238"/>
    </row>
    <row r="97" spans="1:12" x14ac:dyDescent="0.4">
      <c r="A97" s="92"/>
      <c r="B97" t="s">
        <v>52</v>
      </c>
      <c r="C97" s="197">
        <v>50000</v>
      </c>
      <c r="D97" s="197">
        <v>3</v>
      </c>
      <c r="E97" s="197">
        <v>192561</v>
      </c>
      <c r="F97" s="197">
        <f>D97*F94</f>
        <v>90000</v>
      </c>
      <c r="G97" s="197">
        <f>D97*G94</f>
        <v>60000</v>
      </c>
      <c r="H97" s="197">
        <f>E97-F97-G97</f>
        <v>42561</v>
      </c>
      <c r="I97" s="197"/>
      <c r="L97" s="238"/>
    </row>
    <row r="98" spans="1:12" x14ac:dyDescent="0.4">
      <c r="A98" s="92"/>
      <c r="B98" t="s">
        <v>114</v>
      </c>
      <c r="C98" s="197">
        <v>100000</v>
      </c>
      <c r="D98" s="197">
        <v>5</v>
      </c>
      <c r="E98" s="197">
        <v>678619</v>
      </c>
      <c r="F98" s="197">
        <f>D98*F94</f>
        <v>150000</v>
      </c>
      <c r="G98" s="197">
        <f>G94*D98</f>
        <v>100000</v>
      </c>
      <c r="H98" s="197">
        <f>H94*D98</f>
        <v>250000</v>
      </c>
      <c r="I98" s="197">
        <f>E98-F98-G98-H98</f>
        <v>178619</v>
      </c>
      <c r="L98" s="238"/>
    </row>
    <row r="99" spans="1:12" ht="15.4" thickBot="1" x14ac:dyDescent="0.45">
      <c r="A99" s="92"/>
      <c r="C99" s="197"/>
      <c r="D99" s="270">
        <f t="shared" ref="D99:I99" si="13">SUM(D95:D98)</f>
        <v>12</v>
      </c>
      <c r="E99" s="270">
        <f t="shared" si="13"/>
        <v>964159</v>
      </c>
      <c r="F99" s="270">
        <f t="shared" si="13"/>
        <v>317069</v>
      </c>
      <c r="G99" s="270">
        <f t="shared" si="13"/>
        <v>175910</v>
      </c>
      <c r="H99" s="270">
        <f t="shared" si="13"/>
        <v>292561</v>
      </c>
      <c r="I99" s="270">
        <f t="shared" si="13"/>
        <v>178619</v>
      </c>
      <c r="L99" s="238"/>
    </row>
    <row r="100" spans="1:12" ht="15.4" thickTop="1" x14ac:dyDescent="0.4">
      <c r="A100" s="92"/>
      <c r="C100" s="197"/>
      <c r="D100" s="197"/>
      <c r="E100" s="197"/>
      <c r="F100"/>
      <c r="G100"/>
      <c r="H100"/>
      <c r="I100"/>
      <c r="L100" s="238"/>
    </row>
    <row r="101" spans="1:12" x14ac:dyDescent="0.4">
      <c r="A101" s="92"/>
      <c r="C101" s="197"/>
      <c r="D101"/>
      <c r="E101" s="197"/>
      <c r="F101" s="197"/>
      <c r="G101" s="197"/>
      <c r="H101" s="197"/>
      <c r="I101" s="197"/>
      <c r="L101" s="238"/>
    </row>
    <row r="102" spans="1:12" x14ac:dyDescent="0.4">
      <c r="A102" s="92"/>
      <c r="B102" t="s">
        <v>51</v>
      </c>
      <c r="C102" s="197">
        <f>C95</f>
        <v>30000</v>
      </c>
      <c r="D102" t="s">
        <v>188</v>
      </c>
      <c r="E102" s="197">
        <f>D99</f>
        <v>12</v>
      </c>
      <c r="F102" s="197">
        <f>F99</f>
        <v>317069</v>
      </c>
      <c r="G102" s="244">
        <f>'YR 2 Rate Comp'!L43</f>
        <v>305.64</v>
      </c>
      <c r="H102" t="s">
        <v>241</v>
      </c>
      <c r="I102" s="138">
        <f>ROUND(E102*G102,2)</f>
        <v>3667.68</v>
      </c>
      <c r="L102" s="238"/>
    </row>
    <row r="103" spans="1:12" x14ac:dyDescent="0.4">
      <c r="A103" s="92"/>
      <c r="B103" t="s">
        <v>52</v>
      </c>
      <c r="C103" s="197">
        <f t="shared" ref="C103:C105" si="14">C96</f>
        <v>20000</v>
      </c>
      <c r="D103" t="s">
        <v>188</v>
      </c>
      <c r="E103" s="197"/>
      <c r="F103" s="197">
        <f>G99</f>
        <v>175910</v>
      </c>
      <c r="G103" s="271">
        <f>'YR 2 Rate Comp'!L44</f>
        <v>7.0200000000000002E-3</v>
      </c>
      <c r="H103" t="s">
        <v>240</v>
      </c>
      <c r="I103" s="138">
        <f t="shared" ref="I103:I105" si="15">ROUND(F103*G103,2)</f>
        <v>1234.8900000000001</v>
      </c>
      <c r="L103" s="238"/>
    </row>
    <row r="104" spans="1:12" x14ac:dyDescent="0.4">
      <c r="A104" s="92"/>
      <c r="B104" t="s">
        <v>52</v>
      </c>
      <c r="C104" s="197">
        <f t="shared" si="14"/>
        <v>50000</v>
      </c>
      <c r="D104" t="s">
        <v>188</v>
      </c>
      <c r="E104" s="197"/>
      <c r="F104" s="197">
        <f>H99</f>
        <v>292561</v>
      </c>
      <c r="G104" s="271">
        <f>'YR 2 Rate Comp'!L45</f>
        <v>6.0400000000000002E-3</v>
      </c>
      <c r="H104" t="s">
        <v>240</v>
      </c>
      <c r="I104" s="138">
        <f t="shared" si="15"/>
        <v>1767.07</v>
      </c>
      <c r="L104" s="238"/>
    </row>
    <row r="105" spans="1:12" x14ac:dyDescent="0.4">
      <c r="A105" s="92"/>
      <c r="B105" t="s">
        <v>114</v>
      </c>
      <c r="C105" s="197">
        <f t="shared" si="14"/>
        <v>100000</v>
      </c>
      <c r="D105" t="s">
        <v>188</v>
      </c>
      <c r="E105" s="197"/>
      <c r="F105" s="197">
        <f>I99</f>
        <v>178619</v>
      </c>
      <c r="G105" s="271">
        <f>'YR 2 Rate Comp'!L46</f>
        <v>5.0300000000000006E-3</v>
      </c>
      <c r="H105" t="s">
        <v>240</v>
      </c>
      <c r="I105" s="213">
        <f t="shared" si="15"/>
        <v>898.45</v>
      </c>
      <c r="L105" s="238"/>
    </row>
    <row r="106" spans="1:12" ht="15.4" thickBot="1" x14ac:dyDescent="0.45">
      <c r="A106" s="92"/>
      <c r="B106" s="116" t="s">
        <v>737</v>
      </c>
      <c r="C106" s="197"/>
      <c r="D106"/>
      <c r="E106" s="270">
        <f>SUM(E102:E105)</f>
        <v>12</v>
      </c>
      <c r="F106" s="270">
        <f>SUM(F102:F105)</f>
        <v>964159</v>
      </c>
      <c r="G106"/>
      <c r="H106"/>
      <c r="I106" s="214">
        <f>SUM(I102:I105)</f>
        <v>7568.0899999999992</v>
      </c>
      <c r="L106" s="238"/>
    </row>
    <row r="107" spans="1:12" ht="15.4" thickTop="1" x14ac:dyDescent="0.4">
      <c r="A107" s="92"/>
      <c r="L107" s="238"/>
    </row>
    <row r="108" spans="1:12" x14ac:dyDescent="0.4">
      <c r="A108" s="92"/>
      <c r="B108" s="592" t="s">
        <v>339</v>
      </c>
      <c r="L108" s="238"/>
    </row>
    <row r="109" spans="1:12" x14ac:dyDescent="0.4">
      <c r="A109" s="92"/>
      <c r="C109" s="197"/>
      <c r="D109" s="268" t="s">
        <v>187</v>
      </c>
      <c r="E109" s="258" t="s">
        <v>188</v>
      </c>
      <c r="F109" s="199">
        <f>C110</f>
        <v>60000</v>
      </c>
      <c r="G109" s="199">
        <f>C111</f>
        <v>40000</v>
      </c>
      <c r="H109" s="199">
        <f>C112</f>
        <v>100000</v>
      </c>
      <c r="I109" s="199" t="s">
        <v>32</v>
      </c>
      <c r="L109" s="238"/>
    </row>
    <row r="110" spans="1:12" x14ac:dyDescent="0.4">
      <c r="A110" s="92"/>
      <c r="B110" t="s">
        <v>51</v>
      </c>
      <c r="C110" s="197">
        <v>60000</v>
      </c>
      <c r="D110" s="197">
        <v>34</v>
      </c>
      <c r="E110" s="197">
        <v>599082</v>
      </c>
      <c r="F110" s="197">
        <f>E110</f>
        <v>599082</v>
      </c>
      <c r="G110" s="197"/>
      <c r="H110" s="197"/>
      <c r="I110" s="197">
        <f>SUM(F110:H110)</f>
        <v>599082</v>
      </c>
      <c r="L110" s="238"/>
    </row>
    <row r="111" spans="1:12" x14ac:dyDescent="0.4">
      <c r="A111" s="92"/>
      <c r="B111" t="s">
        <v>52</v>
      </c>
      <c r="C111" s="197">
        <v>40000</v>
      </c>
      <c r="D111" s="197">
        <v>9</v>
      </c>
      <c r="E111" s="197">
        <v>697358</v>
      </c>
      <c r="F111" s="197">
        <f>D111*F109</f>
        <v>540000</v>
      </c>
      <c r="G111" s="197">
        <f>E111-F111</f>
        <v>157358</v>
      </c>
      <c r="H111" s="197"/>
      <c r="I111" s="197">
        <f t="shared" ref="I111:I112" si="16">SUM(F111:H111)</f>
        <v>697358</v>
      </c>
      <c r="L111" s="238"/>
    </row>
    <row r="112" spans="1:12" x14ac:dyDescent="0.4">
      <c r="A112" s="92"/>
      <c r="B112" t="s">
        <v>114</v>
      </c>
      <c r="C112" s="197">
        <f>SUM(C110:C111)</f>
        <v>100000</v>
      </c>
      <c r="D112" s="197">
        <v>5</v>
      </c>
      <c r="E112" s="197">
        <v>619573</v>
      </c>
      <c r="F112" s="197">
        <f>D112*F109</f>
        <v>300000</v>
      </c>
      <c r="G112" s="197">
        <f>G109*D112</f>
        <v>200000</v>
      </c>
      <c r="H112" s="197">
        <f>E112-F112-G112</f>
        <v>119573</v>
      </c>
      <c r="I112" s="197">
        <f t="shared" si="16"/>
        <v>619573</v>
      </c>
      <c r="L112" s="238"/>
    </row>
    <row r="113" spans="1:12" ht="15.4" thickBot="1" x14ac:dyDescent="0.45">
      <c r="A113" s="92"/>
      <c r="C113" s="197"/>
      <c r="D113" s="270">
        <f t="shared" ref="D113:I113" si="17">SUM(D110:D112)</f>
        <v>48</v>
      </c>
      <c r="E113" s="270">
        <f t="shared" si="17"/>
        <v>1916013</v>
      </c>
      <c r="F113" s="270">
        <f t="shared" si="17"/>
        <v>1439082</v>
      </c>
      <c r="G113" s="270">
        <f t="shared" si="17"/>
        <v>357358</v>
      </c>
      <c r="H113" s="270">
        <f t="shared" si="17"/>
        <v>119573</v>
      </c>
      <c r="I113" s="270">
        <f t="shared" si="17"/>
        <v>1916013</v>
      </c>
      <c r="L113" s="238"/>
    </row>
    <row r="114" spans="1:12" ht="15.4" thickTop="1" x14ac:dyDescent="0.4">
      <c r="A114" s="92"/>
      <c r="C114" s="197"/>
      <c r="D114" s="197"/>
      <c r="E114" s="197"/>
      <c r="F114"/>
      <c r="G114"/>
      <c r="H114"/>
      <c r="I114"/>
      <c r="L114" s="238"/>
    </row>
    <row r="115" spans="1:12" x14ac:dyDescent="0.4">
      <c r="A115" s="92"/>
      <c r="C115" s="197"/>
      <c r="D115"/>
      <c r="E115" s="197"/>
      <c r="F115" s="197"/>
      <c r="G115" s="197"/>
      <c r="H115" s="197"/>
      <c r="I115" s="197"/>
      <c r="L115" s="238"/>
    </row>
    <row r="116" spans="1:12" x14ac:dyDescent="0.4">
      <c r="A116" s="92"/>
      <c r="B116" t="s">
        <v>51</v>
      </c>
      <c r="C116" s="197">
        <v>60000</v>
      </c>
      <c r="D116" t="s">
        <v>188</v>
      </c>
      <c r="E116" s="197">
        <f>D113</f>
        <v>48</v>
      </c>
      <c r="F116" s="197">
        <f>F113</f>
        <v>1439082</v>
      </c>
      <c r="G116" s="244">
        <f>'YR 2 Rate Comp'!L49</f>
        <v>533.87</v>
      </c>
      <c r="H116" t="s">
        <v>241</v>
      </c>
      <c r="I116" s="138">
        <f>ROUND(E116*G116,2)</f>
        <v>25625.759999999998</v>
      </c>
      <c r="L116" s="238"/>
    </row>
    <row r="117" spans="1:12" x14ac:dyDescent="0.4">
      <c r="A117" s="92"/>
      <c r="B117" t="s">
        <v>52</v>
      </c>
      <c r="C117" s="197">
        <v>40000</v>
      </c>
      <c r="D117" t="s">
        <v>188</v>
      </c>
      <c r="E117" s="197"/>
      <c r="F117" s="197">
        <f>G113</f>
        <v>357358</v>
      </c>
      <c r="G117" s="271">
        <f>'YR 2 Rate Comp'!L50</f>
        <v>6.0400000000000002E-3</v>
      </c>
      <c r="H117" t="s">
        <v>240</v>
      </c>
      <c r="I117" s="138">
        <f t="shared" ref="I117:I118" si="18">ROUND(F117*G117,2)</f>
        <v>2158.44</v>
      </c>
      <c r="L117" s="238"/>
    </row>
    <row r="118" spans="1:12" x14ac:dyDescent="0.4">
      <c r="A118" s="92"/>
      <c r="B118" t="s">
        <v>114</v>
      </c>
      <c r="C118" s="197">
        <f>SUM(C116:C117)</f>
        <v>100000</v>
      </c>
      <c r="D118" t="s">
        <v>188</v>
      </c>
      <c r="E118" s="197"/>
      <c r="F118" s="197">
        <f>H113</f>
        <v>119573</v>
      </c>
      <c r="G118" s="271">
        <f>'YR 2 Rate Comp'!L51</f>
        <v>5.0300000000000006E-3</v>
      </c>
      <c r="H118" t="s">
        <v>240</v>
      </c>
      <c r="I118" s="213">
        <f t="shared" si="18"/>
        <v>601.45000000000005</v>
      </c>
      <c r="L118" s="238"/>
    </row>
    <row r="119" spans="1:12" ht="15.4" thickBot="1" x14ac:dyDescent="0.45">
      <c r="A119" s="92"/>
      <c r="B119" s="116" t="s">
        <v>738</v>
      </c>
      <c r="C119" s="197"/>
      <c r="D119"/>
      <c r="E119" s="270">
        <f>SUM(E116:E118)</f>
        <v>48</v>
      </c>
      <c r="F119" s="270">
        <f>SUM(F116:F118)</f>
        <v>1916013</v>
      </c>
      <c r="G119" s="271"/>
      <c r="H119"/>
      <c r="I119" s="138">
        <f>SUM(I116:I118)</f>
        <v>28385.649999999998</v>
      </c>
      <c r="L119" s="238"/>
    </row>
    <row r="120" spans="1:12" ht="15.4" thickTop="1" x14ac:dyDescent="0.4">
      <c r="A120" s="92"/>
      <c r="L120" s="238"/>
    </row>
    <row r="121" spans="1:12" x14ac:dyDescent="0.4">
      <c r="A121" s="92"/>
      <c r="B121" s="592" t="s">
        <v>355</v>
      </c>
      <c r="L121" s="238"/>
    </row>
    <row r="122" spans="1:12" ht="15.75" x14ac:dyDescent="0.5">
      <c r="A122" s="92"/>
      <c r="B122" s="272" t="s">
        <v>352</v>
      </c>
      <c r="C122" s="273"/>
      <c r="D122" s="272"/>
      <c r="E122" s="273"/>
      <c r="F122" s="273"/>
      <c r="G122" s="273"/>
      <c r="H122" s="273"/>
      <c r="I122" s="273"/>
      <c r="L122" s="238"/>
    </row>
    <row r="123" spans="1:12" ht="15.75" x14ac:dyDescent="0.5">
      <c r="A123" s="92"/>
      <c r="B123" s="272"/>
      <c r="C123" s="273"/>
      <c r="D123" s="272"/>
      <c r="E123" s="273">
        <v>12</v>
      </c>
      <c r="F123" s="273"/>
      <c r="G123" s="274">
        <f>'YR 2 Rate Comp'!L61</f>
        <v>91.324000000000012</v>
      </c>
      <c r="H123" s="272" t="s">
        <v>241</v>
      </c>
      <c r="I123" s="275">
        <f>ROUND(E123*G123,2)</f>
        <v>1095.8900000000001</v>
      </c>
      <c r="L123" s="238"/>
    </row>
    <row r="124" spans="1:12" ht="16.149999999999999" thickBot="1" x14ac:dyDescent="0.55000000000000004">
      <c r="A124" s="92"/>
      <c r="B124" s="272" t="s">
        <v>739</v>
      </c>
      <c r="C124" s="273"/>
      <c r="D124" s="272"/>
      <c r="E124" s="273">
        <f>SUM(E123:E123)</f>
        <v>12</v>
      </c>
      <c r="F124" s="273"/>
      <c r="G124" s="272"/>
      <c r="H124" s="272"/>
      <c r="I124" s="214">
        <f>SUM(I123:I123)</f>
        <v>1095.8900000000001</v>
      </c>
      <c r="L124" s="238"/>
    </row>
    <row r="125" spans="1:12" ht="15.4" thickTop="1" x14ac:dyDescent="0.4">
      <c r="A125" s="92"/>
      <c r="L125" s="238"/>
    </row>
    <row r="126" spans="1:12" x14ac:dyDescent="0.4">
      <c r="A126" s="92"/>
      <c r="B126" s="592" t="s">
        <v>356</v>
      </c>
      <c r="L126" s="238"/>
    </row>
    <row r="127" spans="1:12" ht="15.75" x14ac:dyDescent="0.5">
      <c r="A127" s="92"/>
      <c r="B127" s="272" t="s">
        <v>352</v>
      </c>
      <c r="C127" s="273"/>
      <c r="D127" s="272"/>
      <c r="E127" s="273"/>
      <c r="F127" s="273"/>
      <c r="G127" s="273"/>
      <c r="H127" s="273"/>
      <c r="I127" s="273"/>
      <c r="L127" s="238"/>
    </row>
    <row r="128" spans="1:12" ht="15.75" x14ac:dyDescent="0.5">
      <c r="A128" s="92"/>
      <c r="B128" s="272"/>
      <c r="C128" s="273"/>
      <c r="D128" s="272"/>
      <c r="E128" s="273">
        <v>12</v>
      </c>
      <c r="F128" s="273"/>
      <c r="G128" s="274">
        <f>'YR 2 Rate Comp'!L62</f>
        <v>198.511</v>
      </c>
      <c r="H128" s="272" t="s">
        <v>241</v>
      </c>
      <c r="I128" s="275">
        <f>ROUND(E128*G128,2)</f>
        <v>2382.13</v>
      </c>
      <c r="L128" s="238"/>
    </row>
    <row r="129" spans="1:12" ht="16.149999999999999" thickBot="1" x14ac:dyDescent="0.55000000000000004">
      <c r="A129" s="92"/>
      <c r="B129" s="272" t="s">
        <v>353</v>
      </c>
      <c r="C129" s="272"/>
      <c r="D129" s="272"/>
      <c r="E129" s="272"/>
      <c r="F129" s="272"/>
      <c r="G129" s="272"/>
      <c r="H129" s="272"/>
      <c r="I129" s="276">
        <f>SUM(I128)</f>
        <v>2382.13</v>
      </c>
      <c r="L129" s="238"/>
    </row>
    <row r="130" spans="1:12" ht="15.75" thickTop="1" x14ac:dyDescent="0.45">
      <c r="A130" s="92"/>
      <c r="B130" s="1"/>
      <c r="C130" s="1"/>
      <c r="D130" s="1"/>
      <c r="E130" s="1"/>
      <c r="F130" s="1"/>
      <c r="G130" s="1"/>
      <c r="H130" s="1"/>
      <c r="I130" s="1"/>
      <c r="L130" s="238"/>
    </row>
    <row r="131" spans="1:12" x14ac:dyDescent="0.4">
      <c r="A131" s="92"/>
      <c r="B131" s="592" t="s">
        <v>351</v>
      </c>
      <c r="L131" s="238"/>
    </row>
    <row r="132" spans="1:12" ht="15.75" x14ac:dyDescent="0.5">
      <c r="A132" s="92"/>
      <c r="B132" s="272" t="s">
        <v>352</v>
      </c>
      <c r="C132" s="273"/>
      <c r="D132" s="272"/>
      <c r="E132" s="273"/>
      <c r="F132" s="273"/>
      <c r="G132" s="273"/>
      <c r="H132" s="273"/>
      <c r="I132" s="273"/>
      <c r="L132" s="238"/>
    </row>
    <row r="133" spans="1:12" ht="15.75" x14ac:dyDescent="0.5">
      <c r="A133" s="92"/>
      <c r="B133" s="272"/>
      <c r="C133" s="273"/>
      <c r="D133" s="272"/>
      <c r="E133" s="273">
        <v>12</v>
      </c>
      <c r="F133" s="273"/>
      <c r="G133" s="274">
        <f>'YR 2 Rate Comp'!L63</f>
        <v>457.30899999999997</v>
      </c>
      <c r="H133" s="272" t="s">
        <v>241</v>
      </c>
      <c r="I133" s="275">
        <f>ROUND(E133*G133,2)</f>
        <v>5487.71</v>
      </c>
      <c r="L133" s="238"/>
    </row>
    <row r="134" spans="1:12" ht="16.149999999999999" thickBot="1" x14ac:dyDescent="0.55000000000000004">
      <c r="A134" s="92"/>
      <c r="B134" s="272" t="s">
        <v>353</v>
      </c>
      <c r="C134" s="272"/>
      <c r="D134" s="272"/>
      <c r="E134" s="272"/>
      <c r="F134" s="272"/>
      <c r="G134" s="272"/>
      <c r="H134" s="272"/>
      <c r="I134" s="276">
        <f>SUM(I133)</f>
        <v>5487.71</v>
      </c>
      <c r="L134" s="238"/>
    </row>
    <row r="135" spans="1:12" ht="15.4" thickTop="1" x14ac:dyDescent="0.4">
      <c r="A135" s="248"/>
      <c r="B135" s="136"/>
      <c r="C135" s="136"/>
      <c r="D135" s="213"/>
      <c r="E135" s="213"/>
      <c r="F135" s="213"/>
      <c r="G135" s="213"/>
      <c r="H135" s="213"/>
      <c r="I135" s="213"/>
      <c r="J135" s="213"/>
      <c r="K135" s="213"/>
      <c r="L135" s="249"/>
    </row>
  </sheetData>
  <mergeCells count="4">
    <mergeCell ref="B2:K2"/>
    <mergeCell ref="D4:I4"/>
    <mergeCell ref="M5:N5"/>
    <mergeCell ref="B77:K7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9236-D250-4214-99A0-2CD617A98E3B}">
  <dimension ref="A1:P147"/>
  <sheetViews>
    <sheetView topLeftCell="A122" workbookViewId="0">
      <selection activeCell="G134" sqref="G134"/>
    </sheetView>
  </sheetViews>
  <sheetFormatPr defaultColWidth="8.88671875" defaultRowHeight="14.25" x14ac:dyDescent="0.4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10.77734375" style="1" customWidth="1"/>
    <col min="11" max="11" width="21.6640625" style="1" customWidth="1"/>
    <col min="12" max="12" width="11.44140625" style="139" customWidth="1"/>
    <col min="13" max="13" width="9" style="1" bestFit="1" customWidth="1"/>
    <col min="14" max="14" width="8.88671875" style="1"/>
    <col min="15" max="15" width="13.109375" style="1" customWidth="1"/>
    <col min="16" max="16" width="15" style="1" customWidth="1"/>
    <col min="17" max="16384" width="8.88671875" style="1"/>
  </cols>
  <sheetData>
    <row r="1" spans="1:16" ht="18" x14ac:dyDescent="0.55000000000000004">
      <c r="A1" s="246"/>
      <c r="B1" s="658" t="s">
        <v>220</v>
      </c>
      <c r="C1" s="658"/>
      <c r="D1" s="658"/>
      <c r="E1" s="658"/>
      <c r="F1" s="658"/>
      <c r="G1" s="658"/>
      <c r="H1" s="658"/>
      <c r="I1" s="658"/>
      <c r="J1" s="658"/>
      <c r="K1" s="269"/>
      <c r="L1" s="247"/>
    </row>
    <row r="2" spans="1:16" ht="18" x14ac:dyDescent="0.45">
      <c r="A2" s="92"/>
      <c r="B2" s="659" t="str">
        <f>Adj!B1</f>
        <v>Butler County Water System, Inc.</v>
      </c>
      <c r="C2" s="659"/>
      <c r="D2" s="659"/>
      <c r="E2" s="659"/>
      <c r="F2" s="659"/>
      <c r="G2" s="659"/>
      <c r="H2" s="659"/>
      <c r="I2" s="659"/>
      <c r="J2" s="659"/>
      <c r="K2" s="138"/>
      <c r="L2" s="238"/>
    </row>
    <row r="3" spans="1:16" ht="15.4" x14ac:dyDescent="0.45">
      <c r="A3" s="92"/>
      <c r="B3"/>
      <c r="C3"/>
      <c r="D3" s="138"/>
      <c r="E3" s="138"/>
      <c r="F3" s="138"/>
      <c r="G3" s="138"/>
      <c r="H3" s="138"/>
      <c r="I3" s="138"/>
      <c r="J3" s="138"/>
      <c r="K3" s="138"/>
      <c r="L3" s="238"/>
      <c r="M3" s="9"/>
    </row>
    <row r="4" spans="1:16" ht="17.649999999999999" x14ac:dyDescent="0.75">
      <c r="A4" s="92"/>
      <c r="B4"/>
      <c r="C4"/>
      <c r="D4" s="138"/>
      <c r="E4" s="138"/>
      <c r="F4" s="138"/>
      <c r="G4" s="138"/>
      <c r="H4" s="138"/>
      <c r="I4" s="138"/>
      <c r="J4" s="138"/>
      <c r="K4" s="138"/>
      <c r="L4" s="238"/>
      <c r="M4" s="74"/>
      <c r="N4" s="87"/>
      <c r="O4" s="87"/>
    </row>
    <row r="5" spans="1:16" ht="17.649999999999999" x14ac:dyDescent="0.75">
      <c r="A5" s="92"/>
      <c r="B5"/>
      <c r="C5"/>
      <c r="D5" s="138"/>
      <c r="E5" s="138"/>
      <c r="F5" s="138"/>
      <c r="G5" s="138"/>
      <c r="H5" s="138"/>
      <c r="I5" s="138"/>
      <c r="J5" s="138"/>
      <c r="K5" s="138"/>
      <c r="L5" s="238"/>
      <c r="M5" s="21"/>
      <c r="N5" s="87"/>
      <c r="O5" s="87"/>
    </row>
    <row r="6" spans="1:16" ht="15.4" x14ac:dyDescent="0.45">
      <c r="A6" s="92"/>
      <c r="B6"/>
      <c r="C6"/>
      <c r="D6" s="138"/>
      <c r="E6" s="138"/>
      <c r="F6" s="138"/>
      <c r="G6" s="138"/>
      <c r="H6" s="138"/>
      <c r="I6" s="138"/>
      <c r="J6" s="138"/>
      <c r="K6" s="138"/>
      <c r="L6" s="238"/>
    </row>
    <row r="7" spans="1:16" ht="15.4" x14ac:dyDescent="0.45">
      <c r="A7" s="92"/>
      <c r="B7"/>
      <c r="C7"/>
      <c r="D7" s="138"/>
      <c r="E7" s="138"/>
      <c r="F7" s="138"/>
      <c r="G7" s="138"/>
      <c r="H7" s="138"/>
      <c r="I7" s="138"/>
      <c r="J7" s="138"/>
      <c r="K7" s="138"/>
      <c r="L7" s="238"/>
      <c r="O7" s="139">
        <f>G18</f>
        <v>2921163.0534000765</v>
      </c>
    </row>
    <row r="8" spans="1:16" ht="15.4" x14ac:dyDescent="0.45">
      <c r="A8" s="92"/>
      <c r="B8"/>
      <c r="C8"/>
      <c r="D8" s="138"/>
      <c r="E8" s="138"/>
      <c r="F8" s="138"/>
      <c r="G8" s="138"/>
      <c r="H8" s="138"/>
      <c r="I8" s="138"/>
      <c r="J8" s="138"/>
      <c r="K8" s="138"/>
      <c r="L8" s="238"/>
      <c r="O8" s="139">
        <f>G29</f>
        <v>1800.0600000000002</v>
      </c>
    </row>
    <row r="9" spans="1:16" ht="15.4" x14ac:dyDescent="0.45">
      <c r="A9" s="92"/>
      <c r="B9" t="s">
        <v>333</v>
      </c>
      <c r="C9"/>
      <c r="D9" s="138"/>
      <c r="E9" s="138"/>
      <c r="F9" s="138"/>
      <c r="G9" s="138">
        <f>I50</f>
        <v>2688197.42</v>
      </c>
      <c r="H9" s="138"/>
      <c r="I9" s="138"/>
      <c r="J9" s="138"/>
      <c r="K9" s="138"/>
      <c r="L9" s="238"/>
      <c r="O9" s="139">
        <f>G18+G29</f>
        <v>2922963.1134000765</v>
      </c>
      <c r="P9" s="139"/>
    </row>
    <row r="10" spans="1:16" ht="15.4" x14ac:dyDescent="0.45">
      <c r="A10" s="92"/>
      <c r="B10" t="s">
        <v>334</v>
      </c>
      <c r="C10"/>
      <c r="D10" s="138"/>
      <c r="E10" s="138"/>
      <c r="F10" s="138"/>
      <c r="G10" s="138">
        <f>I70</f>
        <v>120484.46</v>
      </c>
      <c r="H10" s="138"/>
      <c r="I10" s="138"/>
      <c r="J10" s="138"/>
      <c r="K10" s="138"/>
      <c r="L10" s="238"/>
      <c r="O10" s="1">
        <f>-'SAO - DSC'!L55</f>
        <v>-2929591.3826733292</v>
      </c>
    </row>
    <row r="11" spans="1:16" ht="15.4" x14ac:dyDescent="0.45">
      <c r="A11" s="92"/>
      <c r="B11" t="s">
        <v>335</v>
      </c>
      <c r="C11"/>
      <c r="D11" s="138"/>
      <c r="E11" s="138"/>
      <c r="F11" s="138"/>
      <c r="G11" s="138">
        <f>I85</f>
        <v>59741.72</v>
      </c>
      <c r="H11" s="138"/>
      <c r="I11" s="138"/>
      <c r="J11" s="138"/>
      <c r="K11" s="138"/>
      <c r="L11" s="238"/>
      <c r="O11" s="139">
        <f>SUM(O9:O10)</f>
        <v>-6628.2692732526921</v>
      </c>
      <c r="P11" s="139"/>
    </row>
    <row r="12" spans="1:16" ht="15.4" x14ac:dyDescent="0.45">
      <c r="A12" s="92"/>
      <c r="B12" t="s">
        <v>336</v>
      </c>
      <c r="C12"/>
      <c r="D12" s="138"/>
      <c r="E12" s="138"/>
      <c r="F12" s="138"/>
      <c r="G12" s="138">
        <f>I100</f>
        <v>24668.37</v>
      </c>
      <c r="H12" s="138"/>
      <c r="I12" s="138"/>
      <c r="J12" s="138"/>
      <c r="K12" s="138"/>
      <c r="L12" s="238"/>
      <c r="N12"/>
    </row>
    <row r="13" spans="1:16" ht="15.4" x14ac:dyDescent="0.45">
      <c r="A13" s="92"/>
      <c r="B13" t="s">
        <v>338</v>
      </c>
      <c r="C13"/>
      <c r="D13" s="138"/>
      <c r="E13" s="138"/>
      <c r="F13" s="138"/>
      <c r="G13" s="138">
        <f>I115</f>
        <v>7568.0899999999992</v>
      </c>
      <c r="H13" s="138"/>
      <c r="I13" s="138"/>
      <c r="J13" s="138"/>
      <c r="K13" s="138"/>
      <c r="L13" s="238"/>
    </row>
    <row r="14" spans="1:16" ht="15.4" x14ac:dyDescent="0.45">
      <c r="A14" s="92"/>
      <c r="B14" t="s">
        <v>339</v>
      </c>
      <c r="C14"/>
      <c r="D14" s="138"/>
      <c r="E14" s="138"/>
      <c r="F14" s="138"/>
      <c r="G14" s="138">
        <f>I128</f>
        <v>28385.649999999998</v>
      </c>
      <c r="H14" s="138"/>
      <c r="I14" s="138"/>
      <c r="J14" s="138"/>
      <c r="K14" s="138"/>
      <c r="L14" s="238"/>
    </row>
    <row r="15" spans="1:16" ht="15.4" x14ac:dyDescent="0.45">
      <c r="A15" s="92"/>
      <c r="B15" t="s">
        <v>32</v>
      </c>
      <c r="C15"/>
      <c r="D15" s="138"/>
      <c r="E15" s="138"/>
      <c r="F15" s="138"/>
      <c r="G15" s="213">
        <f>SUM(G9:G14)</f>
        <v>2929045.71</v>
      </c>
      <c r="H15" s="138"/>
      <c r="I15" s="138"/>
      <c r="J15" s="138"/>
      <c r="K15" s="138"/>
      <c r="L15" s="238"/>
    </row>
    <row r="16" spans="1:16" ht="15.4" x14ac:dyDescent="0.45">
      <c r="A16" s="92"/>
      <c r="B16" t="s">
        <v>341</v>
      </c>
      <c r="C16"/>
      <c r="D16" s="138"/>
      <c r="E16" s="138"/>
      <c r="F16" s="138"/>
      <c r="G16" s="138">
        <v>-4062.0665999999997</v>
      </c>
      <c r="H16" s="138"/>
      <c r="I16" s="138"/>
      <c r="J16" s="138"/>
      <c r="K16"/>
      <c r="L16" s="525"/>
    </row>
    <row r="17" spans="1:12" ht="15.4" x14ac:dyDescent="0.45">
      <c r="A17" s="92"/>
      <c r="B17" t="s">
        <v>342</v>
      </c>
      <c r="C17"/>
      <c r="D17" s="138"/>
      <c r="E17" s="138"/>
      <c r="F17" s="138"/>
      <c r="G17" s="213">
        <v>-3820.5899999236572</v>
      </c>
      <c r="H17" s="138"/>
      <c r="I17" s="138"/>
      <c r="J17" s="138"/>
      <c r="K17"/>
      <c r="L17" s="525"/>
    </row>
    <row r="18" spans="1:12" ht="15.4" x14ac:dyDescent="0.45">
      <c r="A18" s="92"/>
      <c r="B18" t="s">
        <v>343</v>
      </c>
      <c r="C18"/>
      <c r="D18" s="138"/>
      <c r="E18" s="138"/>
      <c r="F18" s="138"/>
      <c r="G18" s="138">
        <f>SUM(G15:G17)</f>
        <v>2921163.0534000765</v>
      </c>
      <c r="H18" s="138"/>
      <c r="I18" s="138"/>
      <c r="J18" s="138"/>
      <c r="K18"/>
      <c r="L18" s="525"/>
    </row>
    <row r="19" spans="1:12" ht="15.4" x14ac:dyDescent="0.45">
      <c r="A19" s="92"/>
      <c r="B19" t="s">
        <v>344</v>
      </c>
      <c r="C19"/>
      <c r="D19" s="138"/>
      <c r="E19" s="138"/>
      <c r="F19" s="138"/>
      <c r="G19" s="213">
        <f>-'Prop BA - Yr 1'!H18</f>
        <v>-2545495.3234000765</v>
      </c>
      <c r="H19" s="138"/>
      <c r="I19" s="138"/>
      <c r="J19" s="138"/>
      <c r="K19"/>
      <c r="L19" s="525"/>
    </row>
    <row r="20" spans="1:12" ht="15.75" thickBot="1" x14ac:dyDescent="0.5">
      <c r="A20" s="92"/>
      <c r="B20" t="s">
        <v>237</v>
      </c>
      <c r="C20"/>
      <c r="D20" s="138"/>
      <c r="E20" s="138"/>
      <c r="F20" s="138"/>
      <c r="G20" s="214">
        <f>SUM(G18:G19)</f>
        <v>375667.73</v>
      </c>
      <c r="H20" s="138"/>
      <c r="I20" s="138"/>
      <c r="J20" s="138"/>
      <c r="K20"/>
      <c r="L20" s="525"/>
    </row>
    <row r="21" spans="1:12" ht="15.75" thickTop="1" x14ac:dyDescent="0.45">
      <c r="A21" s="92"/>
      <c r="B21"/>
      <c r="C21"/>
      <c r="D21" s="138"/>
      <c r="E21" s="138"/>
      <c r="F21" s="138"/>
      <c r="G21" s="138"/>
      <c r="H21" s="138"/>
      <c r="I21" s="138"/>
      <c r="J21" s="138"/>
      <c r="K21"/>
      <c r="L21" s="525"/>
    </row>
    <row r="22" spans="1:12" ht="15.4" x14ac:dyDescent="0.45">
      <c r="A22" s="92"/>
      <c r="B22" t="s">
        <v>265</v>
      </c>
      <c r="C22"/>
      <c r="D22" s="138"/>
      <c r="E22" s="138"/>
      <c r="F22" s="138"/>
      <c r="G22" s="138"/>
      <c r="H22" s="138"/>
      <c r="I22" s="138"/>
      <c r="J22" s="138"/>
      <c r="K22"/>
      <c r="L22" s="525"/>
    </row>
    <row r="23" spans="1:12" ht="15.4" x14ac:dyDescent="0.45">
      <c r="A23" s="92"/>
      <c r="B23" s="116" t="s">
        <v>357</v>
      </c>
      <c r="C23"/>
      <c r="D23" s="138"/>
      <c r="E23" s="138"/>
      <c r="F23" s="138"/>
      <c r="G23" s="138">
        <f>I135</f>
        <v>282.3</v>
      </c>
      <c r="H23" s="138"/>
      <c r="I23" s="138"/>
      <c r="J23" s="138"/>
      <c r="K23"/>
      <c r="L23" s="525"/>
    </row>
    <row r="24" spans="1:12" ht="15.4" x14ac:dyDescent="0.45">
      <c r="A24" s="92"/>
      <c r="B24" t="s">
        <v>345</v>
      </c>
      <c r="C24"/>
      <c r="D24" s="138"/>
      <c r="E24" s="138"/>
      <c r="F24" s="138"/>
      <c r="G24" s="138">
        <f>I140</f>
        <v>421.87</v>
      </c>
      <c r="H24" s="138"/>
      <c r="I24" s="138"/>
      <c r="J24" s="138"/>
      <c r="K24"/>
      <c r="L24" s="525"/>
    </row>
    <row r="25" spans="1:12" ht="15.4" x14ac:dyDescent="0.45">
      <c r="A25" s="92"/>
      <c r="B25" t="s">
        <v>346</v>
      </c>
      <c r="C25"/>
      <c r="D25" s="138"/>
      <c r="E25" s="138"/>
      <c r="F25" s="138"/>
      <c r="G25" s="138">
        <f>I145</f>
        <v>1095.8900000000001</v>
      </c>
      <c r="H25" s="138"/>
      <c r="I25" s="138"/>
      <c r="J25" s="138"/>
      <c r="K25"/>
      <c r="L25" s="525"/>
    </row>
    <row r="26" spans="1:12" ht="15.4" x14ac:dyDescent="0.45">
      <c r="A26" s="92"/>
      <c r="B26" t="s">
        <v>32</v>
      </c>
      <c r="C26"/>
      <c r="D26" s="138"/>
      <c r="E26" s="138"/>
      <c r="F26" s="138"/>
      <c r="G26" s="213">
        <f>SUM(G23:G25)</f>
        <v>1800.0600000000002</v>
      </c>
      <c r="H26" s="138"/>
      <c r="L26" s="238"/>
    </row>
    <row r="27" spans="1:12" ht="15.4" x14ac:dyDescent="0.45">
      <c r="A27" s="92"/>
      <c r="B27" t="s">
        <v>341</v>
      </c>
      <c r="C27"/>
      <c r="D27" s="138"/>
      <c r="E27" s="138"/>
      <c r="F27" s="138"/>
      <c r="G27" s="138">
        <v>0</v>
      </c>
      <c r="H27" s="138"/>
      <c r="I27" s="138"/>
      <c r="J27" s="138"/>
      <c r="K27" s="138"/>
      <c r="L27" s="238"/>
    </row>
    <row r="28" spans="1:12" ht="15.4" x14ac:dyDescent="0.45">
      <c r="A28" s="92"/>
      <c r="B28" t="s">
        <v>342</v>
      </c>
      <c r="C28"/>
      <c r="D28" s="138"/>
      <c r="E28" s="138"/>
      <c r="F28" s="138"/>
      <c r="G28" s="213">
        <v>0</v>
      </c>
      <c r="H28" s="138"/>
      <c r="I28" s="138"/>
      <c r="J28" s="138"/>
      <c r="K28" s="138"/>
      <c r="L28" s="238"/>
    </row>
    <row r="29" spans="1:12" ht="15.4" x14ac:dyDescent="0.45">
      <c r="A29" s="92"/>
      <c r="B29" t="s">
        <v>343</v>
      </c>
      <c r="C29"/>
      <c r="D29" s="138"/>
      <c r="E29" s="138"/>
      <c r="F29" s="138"/>
      <c r="G29" s="138">
        <f>SUM(G26:G28)</f>
        <v>1800.0600000000002</v>
      </c>
      <c r="H29" s="138"/>
      <c r="I29" s="138"/>
      <c r="J29" s="138"/>
      <c r="K29" s="138"/>
      <c r="L29" s="238"/>
    </row>
    <row r="30" spans="1:12" ht="15.4" x14ac:dyDescent="0.45">
      <c r="A30" s="92"/>
      <c r="B30" t="s">
        <v>347</v>
      </c>
      <c r="C30"/>
      <c r="D30" s="138"/>
      <c r="E30" s="138"/>
      <c r="F30" s="138"/>
      <c r="G30" s="213">
        <f>-'Prop BA - Yr 1'!H29</f>
        <v>-1569.3600000000001</v>
      </c>
      <c r="H30" s="138"/>
      <c r="I30" s="138"/>
      <c r="J30" s="138"/>
      <c r="K30" s="138"/>
      <c r="L30" s="238"/>
    </row>
    <row r="31" spans="1:12" ht="15.75" thickBot="1" x14ac:dyDescent="0.5">
      <c r="A31" s="92"/>
      <c r="B31" t="s">
        <v>237</v>
      </c>
      <c r="C31"/>
      <c r="D31" s="138"/>
      <c r="E31" s="138"/>
      <c r="F31" s="138"/>
      <c r="G31" s="214">
        <f>SUM(G29:G30)</f>
        <v>230.70000000000005</v>
      </c>
      <c r="H31" s="138"/>
      <c r="I31" s="138"/>
      <c r="J31" s="138"/>
      <c r="K31" s="138"/>
      <c r="L31" s="238"/>
    </row>
    <row r="32" spans="1:12" ht="15.75" thickTop="1" x14ac:dyDescent="0.45">
      <c r="A32" s="92"/>
      <c r="B32"/>
      <c r="C32"/>
      <c r="D32" s="138"/>
      <c r="E32" s="138"/>
      <c r="F32" s="138"/>
      <c r="G32" s="138"/>
      <c r="H32" s="138"/>
      <c r="I32" s="138"/>
      <c r="J32" s="138"/>
      <c r="K32" s="138"/>
      <c r="L32" s="238"/>
    </row>
    <row r="33" spans="1:12" ht="15.4" x14ac:dyDescent="0.45">
      <c r="A33" s="92"/>
      <c r="B33"/>
      <c r="C33"/>
      <c r="D33" s="138"/>
      <c r="E33" s="138"/>
      <c r="F33" s="138"/>
      <c r="G33" s="138"/>
      <c r="H33" s="138"/>
      <c r="I33" s="138"/>
      <c r="J33" s="138"/>
      <c r="K33" s="138"/>
      <c r="L33" s="238"/>
    </row>
    <row r="34" spans="1:12" ht="15.4" x14ac:dyDescent="0.45">
      <c r="A34" s="92"/>
      <c r="B34"/>
      <c r="C34"/>
      <c r="D34" s="138"/>
      <c r="E34" s="138"/>
      <c r="F34" s="138"/>
      <c r="G34" s="138"/>
      <c r="H34" s="138"/>
      <c r="I34" s="138"/>
      <c r="J34" s="138"/>
      <c r="K34" s="138"/>
      <c r="L34" s="238"/>
    </row>
    <row r="35" spans="1:12" ht="15.4" x14ac:dyDescent="0.45">
      <c r="A35" s="92"/>
      <c r="B35" t="s">
        <v>333</v>
      </c>
      <c r="C35"/>
      <c r="D35" s="138"/>
      <c r="E35" s="138"/>
      <c r="F35" s="138"/>
      <c r="G35" s="138"/>
      <c r="H35" s="138"/>
      <c r="I35" s="138"/>
      <c r="J35" s="138"/>
      <c r="K35" s="138"/>
      <c r="L35" s="238"/>
    </row>
    <row r="36" spans="1:12" ht="15.4" x14ac:dyDescent="0.45">
      <c r="A36" s="92"/>
      <c r="B36"/>
      <c r="C36" s="197"/>
      <c r="D36" s="257" t="s">
        <v>187</v>
      </c>
      <c r="E36" s="523" t="s">
        <v>188</v>
      </c>
      <c r="F36" s="198">
        <f>C37</f>
        <v>2000</v>
      </c>
      <c r="G36" s="198">
        <f>C38</f>
        <v>4000</v>
      </c>
      <c r="H36" s="198">
        <f>C39</f>
        <v>44000</v>
      </c>
      <c r="I36" s="198">
        <f>C40</f>
        <v>50000</v>
      </c>
      <c r="J36" s="198">
        <f>C41</f>
        <v>100000</v>
      </c>
      <c r="K36" s="257" t="s">
        <v>32</v>
      </c>
      <c r="L36" s="238"/>
    </row>
    <row r="37" spans="1:12" ht="15.4" x14ac:dyDescent="0.45">
      <c r="A37" s="92"/>
      <c r="B37" t="s">
        <v>51</v>
      </c>
      <c r="C37" s="197">
        <v>2000</v>
      </c>
      <c r="D37" s="197">
        <v>20595</v>
      </c>
      <c r="E37" s="197">
        <v>17876862</v>
      </c>
      <c r="F37" s="197">
        <f>E37</f>
        <v>17876862</v>
      </c>
      <c r="G37" s="197"/>
      <c r="H37" s="197"/>
      <c r="I37" s="197"/>
      <c r="J37" s="197"/>
      <c r="K37" s="197">
        <f>SUM(F37:J37)</f>
        <v>17876862</v>
      </c>
      <c r="L37" s="238"/>
    </row>
    <row r="38" spans="1:12" ht="15.4" x14ac:dyDescent="0.45">
      <c r="A38" s="92"/>
      <c r="B38" t="s">
        <v>52</v>
      </c>
      <c r="C38" s="197">
        <v>4000</v>
      </c>
      <c r="D38" s="197">
        <v>29054</v>
      </c>
      <c r="E38" s="197">
        <v>105196275</v>
      </c>
      <c r="F38" s="197">
        <f>D38*F36</f>
        <v>58108000</v>
      </c>
      <c r="G38" s="197">
        <f>E38-F38</f>
        <v>47088275</v>
      </c>
      <c r="H38" s="197"/>
      <c r="I38" s="197"/>
      <c r="J38" s="197"/>
      <c r="K38" s="197">
        <f t="shared" ref="K38:K41" si="0">SUM(F38:J38)</f>
        <v>105196275</v>
      </c>
      <c r="L38" s="238"/>
    </row>
    <row r="39" spans="1:12" ht="15.4" x14ac:dyDescent="0.45">
      <c r="A39" s="92"/>
      <c r="B39" t="s">
        <v>52</v>
      </c>
      <c r="C39" s="197">
        <v>44000</v>
      </c>
      <c r="D39" s="197">
        <v>9538</v>
      </c>
      <c r="E39" s="197">
        <v>99448423</v>
      </c>
      <c r="F39" s="197">
        <f>D39*F36</f>
        <v>19076000</v>
      </c>
      <c r="G39" s="197">
        <f>D39*G36</f>
        <v>38152000</v>
      </c>
      <c r="H39" s="197">
        <f>E39-F39-G39</f>
        <v>42220423</v>
      </c>
      <c r="I39" s="197"/>
      <c r="J39" s="197"/>
      <c r="K39" s="197">
        <f t="shared" si="0"/>
        <v>99448423</v>
      </c>
      <c r="L39" s="238"/>
    </row>
    <row r="40" spans="1:12" ht="15.4" x14ac:dyDescent="0.45">
      <c r="A40" s="92"/>
      <c r="B40" t="s">
        <v>52</v>
      </c>
      <c r="C40" s="197">
        <v>50000</v>
      </c>
      <c r="D40" s="197">
        <v>88</v>
      </c>
      <c r="E40" s="197">
        <v>6553607</v>
      </c>
      <c r="F40" s="197">
        <f>D40*F36</f>
        <v>176000</v>
      </c>
      <c r="G40" s="197">
        <f>D40*G36</f>
        <v>352000</v>
      </c>
      <c r="H40" s="197">
        <f>D40*H36</f>
        <v>3872000</v>
      </c>
      <c r="I40" s="197">
        <f>E40-F40-G40-H40</f>
        <v>2153607</v>
      </c>
      <c r="J40" s="197"/>
      <c r="K40" s="197">
        <f t="shared" si="0"/>
        <v>6553607</v>
      </c>
      <c r="L40" s="238"/>
    </row>
    <row r="41" spans="1:12" ht="15.4" x14ac:dyDescent="0.45">
      <c r="A41" s="92"/>
      <c r="B41" t="s">
        <v>114</v>
      </c>
      <c r="C41" s="197">
        <v>100000</v>
      </c>
      <c r="D41" s="197">
        <v>64</v>
      </c>
      <c r="E41" s="197">
        <v>8731962</v>
      </c>
      <c r="F41" s="197">
        <f>D41*F36</f>
        <v>128000</v>
      </c>
      <c r="G41" s="197">
        <f>D41*G36</f>
        <v>256000</v>
      </c>
      <c r="H41" s="197">
        <f>H36*D41</f>
        <v>2816000</v>
      </c>
      <c r="I41" s="197">
        <f>I36*D41</f>
        <v>3200000</v>
      </c>
      <c r="J41" s="197">
        <f>E41-F41-G41-H41-I41</f>
        <v>2331962</v>
      </c>
      <c r="K41" s="197">
        <f t="shared" si="0"/>
        <v>8731962</v>
      </c>
      <c r="L41" s="238"/>
    </row>
    <row r="42" spans="1:12" ht="15.4" x14ac:dyDescent="0.45">
      <c r="A42" s="92"/>
      <c r="B42"/>
      <c r="C42" s="197"/>
      <c r="D42" s="197">
        <f>SUM(D37:D41)</f>
        <v>59339</v>
      </c>
      <c r="E42" s="197">
        <f t="shared" ref="E42:J42" si="1">SUM(E37:E41)</f>
        <v>237807129</v>
      </c>
      <c r="F42" s="197">
        <f t="shared" si="1"/>
        <v>95364862</v>
      </c>
      <c r="G42" s="197">
        <f t="shared" si="1"/>
        <v>85848275</v>
      </c>
      <c r="H42" s="197">
        <f t="shared" si="1"/>
        <v>48908423</v>
      </c>
      <c r="I42" s="197">
        <f t="shared" si="1"/>
        <v>5353607</v>
      </c>
      <c r="J42" s="197">
        <f t="shared" si="1"/>
        <v>2331962</v>
      </c>
      <c r="K42" s="197">
        <f>SUM(K37:K41)</f>
        <v>237807129</v>
      </c>
      <c r="L42" s="238"/>
    </row>
    <row r="43" spans="1:12" ht="15.4" x14ac:dyDescent="0.45">
      <c r="A43" s="92"/>
      <c r="B43"/>
      <c r="C43" s="197"/>
      <c r="D43"/>
      <c r="E43" s="138"/>
      <c r="F43"/>
      <c r="G43"/>
      <c r="H43"/>
      <c r="I43"/>
      <c r="J43" s="138"/>
      <c r="K43"/>
      <c r="L43" s="238"/>
    </row>
    <row r="44" spans="1:12" ht="15.4" x14ac:dyDescent="0.45">
      <c r="A44" s="92"/>
      <c r="B44"/>
      <c r="C44" s="197"/>
      <c r="D44"/>
      <c r="E44" s="138"/>
      <c r="F44" s="197"/>
      <c r="G44" s="197"/>
      <c r="H44" s="197"/>
      <c r="I44" s="197"/>
      <c r="J44" s="197"/>
      <c r="K44" s="197"/>
      <c r="L44" s="238"/>
    </row>
    <row r="45" spans="1:12" ht="15.4" x14ac:dyDescent="0.45">
      <c r="A45" s="92"/>
      <c r="B45" t="s">
        <v>51</v>
      </c>
      <c r="C45" s="197">
        <v>2000</v>
      </c>
      <c r="D45" t="s">
        <v>188</v>
      </c>
      <c r="E45" s="197">
        <f>D42</f>
        <v>59339</v>
      </c>
      <c r="F45" s="197">
        <f>F42</f>
        <v>95364862</v>
      </c>
      <c r="G45" s="244">
        <f>'YR 2 Rate Comp'!L11</f>
        <v>27.33</v>
      </c>
      <c r="H45" t="s">
        <v>241</v>
      </c>
      <c r="I45" s="197">
        <f>ROUND(E45*G45,2)</f>
        <v>1621734.87</v>
      </c>
      <c r="J45" s="197"/>
      <c r="K45" s="197"/>
      <c r="L45" s="238"/>
    </row>
    <row r="46" spans="1:12" ht="15.4" x14ac:dyDescent="0.45">
      <c r="A46" s="92"/>
      <c r="B46" t="s">
        <v>52</v>
      </c>
      <c r="C46" s="197">
        <v>4000</v>
      </c>
      <c r="D46" t="s">
        <v>188</v>
      </c>
      <c r="E46" s="197"/>
      <c r="F46" s="197">
        <f>G42</f>
        <v>85848275</v>
      </c>
      <c r="G46" s="271">
        <f>'YR 2 Rate Comp'!L12</f>
        <v>7.9100000000000004E-3</v>
      </c>
      <c r="H46" t="s">
        <v>240</v>
      </c>
      <c r="I46" s="197">
        <f>ROUND(F46*G46,2)</f>
        <v>679059.86</v>
      </c>
      <c r="J46" s="197"/>
      <c r="K46" s="197"/>
      <c r="L46" s="238"/>
    </row>
    <row r="47" spans="1:12" ht="15.4" x14ac:dyDescent="0.45">
      <c r="A47" s="92"/>
      <c r="B47" t="s">
        <v>52</v>
      </c>
      <c r="C47" s="197">
        <v>44000</v>
      </c>
      <c r="D47" t="s">
        <v>188</v>
      </c>
      <c r="E47" s="197"/>
      <c r="F47" s="197">
        <f>H42</f>
        <v>48908423</v>
      </c>
      <c r="G47" s="271">
        <f>'YR 2 Rate Comp'!L13</f>
        <v>7.0200000000000002E-3</v>
      </c>
      <c r="H47" t="s">
        <v>240</v>
      </c>
      <c r="I47" s="197">
        <f t="shared" ref="I47:I49" si="2">ROUND(F47*G47,2)</f>
        <v>343337.13</v>
      </c>
      <c r="J47" s="197"/>
      <c r="K47" s="197"/>
      <c r="L47" s="238"/>
    </row>
    <row r="48" spans="1:12" ht="15.4" x14ac:dyDescent="0.45">
      <c r="A48" s="92"/>
      <c r="B48" t="s">
        <v>52</v>
      </c>
      <c r="C48" s="197">
        <v>50000</v>
      </c>
      <c r="D48" t="s">
        <v>188</v>
      </c>
      <c r="E48" s="197"/>
      <c r="F48" s="197">
        <f>I42</f>
        <v>5353607</v>
      </c>
      <c r="G48" s="271">
        <f>'YR 2 Rate Comp'!L14</f>
        <v>6.0400000000000002E-3</v>
      </c>
      <c r="H48" t="s">
        <v>240</v>
      </c>
      <c r="I48" s="197">
        <f t="shared" si="2"/>
        <v>32335.79</v>
      </c>
      <c r="J48" s="138"/>
      <c r="K48"/>
      <c r="L48" s="238"/>
    </row>
    <row r="49" spans="1:12" ht="15.4" x14ac:dyDescent="0.45">
      <c r="A49" s="92"/>
      <c r="B49" t="s">
        <v>114</v>
      </c>
      <c r="C49" s="197">
        <f>SUM(C45:C48)</f>
        <v>100000</v>
      </c>
      <c r="D49" t="s">
        <v>188</v>
      </c>
      <c r="E49" s="197"/>
      <c r="F49" s="197">
        <f>J42</f>
        <v>2331962</v>
      </c>
      <c r="G49" s="271">
        <f>'YR 2 Rate Comp'!L15</f>
        <v>5.0300000000000006E-3</v>
      </c>
      <c r="H49" t="s">
        <v>240</v>
      </c>
      <c r="I49" s="138">
        <f t="shared" si="2"/>
        <v>11729.77</v>
      </c>
      <c r="J49" s="138"/>
      <c r="K49"/>
      <c r="L49" s="238"/>
    </row>
    <row r="50" spans="1:12" ht="15.4" x14ac:dyDescent="0.45">
      <c r="A50" s="92"/>
      <c r="B50" t="s">
        <v>348</v>
      </c>
      <c r="C50" s="197"/>
      <c r="D50"/>
      <c r="E50" s="197">
        <f>SUM(E45:E49)</f>
        <v>59339</v>
      </c>
      <c r="F50" s="197">
        <f>SUM(F45:F49)</f>
        <v>237807129</v>
      </c>
      <c r="G50"/>
      <c r="H50"/>
      <c r="I50" s="138">
        <f>SUM(I45:I49)</f>
        <v>2688197.42</v>
      </c>
      <c r="J50" s="138"/>
      <c r="K50"/>
      <c r="L50" s="238"/>
    </row>
    <row r="51" spans="1:12" ht="15.4" x14ac:dyDescent="0.45">
      <c r="A51" s="92"/>
      <c r="B51" t="s">
        <v>341</v>
      </c>
      <c r="C51" s="197"/>
      <c r="D51"/>
      <c r="E51" s="138"/>
      <c r="F51"/>
      <c r="G51"/>
      <c r="H51"/>
      <c r="I51" s="197">
        <v>-3199.7504399999998</v>
      </c>
      <c r="J51" s="138">
        <v>-862.31615999999997</v>
      </c>
      <c r="K51" s="197">
        <f>SUM(I51:J51)</f>
        <v>-4062.0665999999997</v>
      </c>
      <c r="L51" s="238"/>
    </row>
    <row r="52" spans="1:12" ht="15.4" x14ac:dyDescent="0.45">
      <c r="A52" s="92"/>
      <c r="B52" t="s">
        <v>342</v>
      </c>
      <c r="C52" s="197"/>
      <c r="D52"/>
      <c r="E52" s="138"/>
      <c r="F52"/>
      <c r="G52"/>
      <c r="H52"/>
      <c r="I52" s="197">
        <v>-3820.5899999236572</v>
      </c>
      <c r="J52" s="138"/>
      <c r="K52"/>
      <c r="L52" s="238"/>
    </row>
    <row r="53" spans="1:12" ht="15.4" x14ac:dyDescent="0.45">
      <c r="A53" s="92"/>
      <c r="B53" t="s">
        <v>353</v>
      </c>
      <c r="C53"/>
      <c r="D53"/>
      <c r="E53"/>
      <c r="F53"/>
      <c r="G53"/>
      <c r="H53"/>
      <c r="I53" s="197">
        <f>SUM(I50:I52)</f>
        <v>2681177.0795600764</v>
      </c>
      <c r="J53"/>
      <c r="K53"/>
      <c r="L53" s="238"/>
    </row>
    <row r="54" spans="1:12" ht="15.4" x14ac:dyDescent="0.45">
      <c r="A54" s="92"/>
      <c r="B54" t="s">
        <v>354</v>
      </c>
      <c r="C54"/>
      <c r="D54"/>
      <c r="E54"/>
      <c r="F54"/>
      <c r="G54"/>
      <c r="H54"/>
      <c r="I54" s="197">
        <v>1998006.3832689242</v>
      </c>
      <c r="J54"/>
      <c r="K54"/>
      <c r="L54" s="238"/>
    </row>
    <row r="55" spans="1:12" ht="15.4" x14ac:dyDescent="0.45">
      <c r="A55" s="92"/>
      <c r="B55"/>
      <c r="C55"/>
      <c r="D55"/>
      <c r="E55"/>
      <c r="F55"/>
      <c r="G55"/>
      <c r="H55"/>
      <c r="I55" s="197"/>
      <c r="J55"/>
      <c r="K55"/>
      <c r="L55" s="238"/>
    </row>
    <row r="56" spans="1:12" ht="15.4" x14ac:dyDescent="0.45">
      <c r="A56" s="92"/>
      <c r="B56" t="s">
        <v>349</v>
      </c>
      <c r="C56"/>
      <c r="D56" s="138"/>
      <c r="E56" s="138"/>
      <c r="F56" s="138"/>
      <c r="G56" s="138"/>
      <c r="H56" s="138"/>
      <c r="I56" s="138"/>
      <c r="J56" s="138"/>
      <c r="K56" s="138"/>
      <c r="L56" s="238"/>
    </row>
    <row r="57" spans="1:12" ht="15.4" x14ac:dyDescent="0.45">
      <c r="A57" s="92"/>
      <c r="B57"/>
      <c r="C57" s="197"/>
      <c r="D57" s="257" t="s">
        <v>187</v>
      </c>
      <c r="E57" s="523" t="s">
        <v>188</v>
      </c>
      <c r="F57" s="198">
        <f>C58</f>
        <v>5000</v>
      </c>
      <c r="G57" s="198">
        <f>C59</f>
        <v>1000</v>
      </c>
      <c r="H57" s="198">
        <f>C60</f>
        <v>44000</v>
      </c>
      <c r="I57" s="198">
        <f>C61</f>
        <v>50000</v>
      </c>
      <c r="J57" s="198">
        <f>C62</f>
        <v>100000</v>
      </c>
      <c r="K57" s="257" t="s">
        <v>32</v>
      </c>
      <c r="L57" s="238"/>
    </row>
    <row r="58" spans="1:12" ht="15.4" x14ac:dyDescent="0.45">
      <c r="A58" s="92"/>
      <c r="B58" t="s">
        <v>51</v>
      </c>
      <c r="C58" s="197">
        <v>5000</v>
      </c>
      <c r="D58" s="197">
        <v>341</v>
      </c>
      <c r="E58" s="197">
        <v>790645</v>
      </c>
      <c r="F58" s="197">
        <f>E58</f>
        <v>790645</v>
      </c>
      <c r="G58" s="197"/>
      <c r="H58" s="197"/>
      <c r="I58" s="197"/>
      <c r="J58" s="197"/>
      <c r="K58" s="197">
        <f>SUM(F58:J58)</f>
        <v>790645</v>
      </c>
      <c r="L58" s="238"/>
    </row>
    <row r="59" spans="1:12" ht="15.4" x14ac:dyDescent="0.45">
      <c r="A59" s="92"/>
      <c r="B59" t="s">
        <v>52</v>
      </c>
      <c r="C59" s="197">
        <v>1000</v>
      </c>
      <c r="D59" s="197">
        <v>54</v>
      </c>
      <c r="E59" s="197">
        <v>295341</v>
      </c>
      <c r="F59" s="197">
        <f>D59*F57</f>
        <v>270000</v>
      </c>
      <c r="G59" s="197">
        <f>E59-F59</f>
        <v>25341</v>
      </c>
      <c r="H59" s="197"/>
      <c r="I59" s="197"/>
      <c r="J59" s="197"/>
      <c r="K59" s="197">
        <f t="shared" ref="K59:K62" si="3">SUM(F59:J59)</f>
        <v>295341</v>
      </c>
      <c r="L59" s="238"/>
    </row>
    <row r="60" spans="1:12" ht="15.4" x14ac:dyDescent="0.45">
      <c r="A60" s="92"/>
      <c r="B60" t="s">
        <v>52</v>
      </c>
      <c r="C60" s="197">
        <v>44000</v>
      </c>
      <c r="D60" s="197">
        <v>248</v>
      </c>
      <c r="E60" s="197">
        <v>3636306</v>
      </c>
      <c r="F60" s="197">
        <f>D60*F57</f>
        <v>1240000</v>
      </c>
      <c r="G60" s="197">
        <f>D60*G57</f>
        <v>248000</v>
      </c>
      <c r="H60" s="197">
        <f>E60-F60-G60</f>
        <v>2148306</v>
      </c>
      <c r="I60" s="197"/>
      <c r="J60" s="197"/>
      <c r="K60" s="197">
        <f t="shared" si="3"/>
        <v>3636306</v>
      </c>
      <c r="L60" s="238"/>
    </row>
    <row r="61" spans="1:12" ht="15.4" x14ac:dyDescent="0.45">
      <c r="A61" s="92"/>
      <c r="B61" t="s">
        <v>52</v>
      </c>
      <c r="C61" s="197">
        <v>50000</v>
      </c>
      <c r="D61" s="197">
        <v>54</v>
      </c>
      <c r="E61" s="197">
        <v>3908284</v>
      </c>
      <c r="F61" s="197">
        <f>D61*F57</f>
        <v>270000</v>
      </c>
      <c r="G61" s="197">
        <f>D61*G57</f>
        <v>54000</v>
      </c>
      <c r="H61" s="197">
        <f>D61*H57</f>
        <v>2376000</v>
      </c>
      <c r="I61" s="197">
        <f>E61-F61-G61-H61</f>
        <v>1208284</v>
      </c>
      <c r="J61" s="197"/>
      <c r="K61" s="197">
        <f t="shared" si="3"/>
        <v>3908284</v>
      </c>
      <c r="L61" s="238"/>
    </row>
    <row r="62" spans="1:12" ht="15.4" x14ac:dyDescent="0.45">
      <c r="A62" s="92"/>
      <c r="B62" t="s">
        <v>114</v>
      </c>
      <c r="C62" s="197">
        <f>SUM(C58:C61)</f>
        <v>100000</v>
      </c>
      <c r="D62" s="197">
        <v>44</v>
      </c>
      <c r="E62" s="197">
        <v>7016157</v>
      </c>
      <c r="F62" s="197">
        <f>D62*F57</f>
        <v>220000</v>
      </c>
      <c r="G62" s="197">
        <f>D62*G57</f>
        <v>44000</v>
      </c>
      <c r="H62" s="197">
        <f>H57*D62</f>
        <v>1936000</v>
      </c>
      <c r="I62" s="197">
        <f>I57*D62</f>
        <v>2200000</v>
      </c>
      <c r="J62" s="197">
        <f>E62-F62-G62-H62-I62</f>
        <v>2616157</v>
      </c>
      <c r="K62" s="197">
        <f t="shared" si="3"/>
        <v>7016157</v>
      </c>
      <c r="L62" s="238"/>
    </row>
    <row r="63" spans="1:12" ht="15.4" x14ac:dyDescent="0.45">
      <c r="A63" s="92"/>
      <c r="B63"/>
      <c r="C63" s="197"/>
      <c r="D63" s="197">
        <f>SUM(D58:D62)</f>
        <v>741</v>
      </c>
      <c r="E63" s="197">
        <f t="shared" ref="E63:J63" si="4">SUM(E58:E62)</f>
        <v>15646733</v>
      </c>
      <c r="F63" s="197">
        <f t="shared" si="4"/>
        <v>2790645</v>
      </c>
      <c r="G63" s="197">
        <f t="shared" si="4"/>
        <v>371341</v>
      </c>
      <c r="H63" s="197">
        <f t="shared" si="4"/>
        <v>6460306</v>
      </c>
      <c r="I63" s="197">
        <f t="shared" si="4"/>
        <v>3408284</v>
      </c>
      <c r="J63" s="197">
        <f t="shared" si="4"/>
        <v>2616157</v>
      </c>
      <c r="K63" s="197">
        <f>SUM(K58:K62)</f>
        <v>15646733</v>
      </c>
      <c r="L63" s="238"/>
    </row>
    <row r="64" spans="1:12" ht="15.4" x14ac:dyDescent="0.45">
      <c r="A64" s="92"/>
      <c r="B64"/>
      <c r="C64" s="197"/>
      <c r="D64"/>
      <c r="E64" s="138"/>
      <c r="F64"/>
      <c r="G64"/>
      <c r="H64"/>
      <c r="I64"/>
      <c r="J64" s="138"/>
      <c r="K64"/>
      <c r="L64" s="238"/>
    </row>
    <row r="65" spans="1:12" ht="15.4" x14ac:dyDescent="0.45">
      <c r="A65" s="92"/>
      <c r="B65" t="s">
        <v>51</v>
      </c>
      <c r="C65" s="197">
        <v>2000</v>
      </c>
      <c r="D65" t="s">
        <v>188</v>
      </c>
      <c r="E65" s="197">
        <f>D63</f>
        <v>741</v>
      </c>
      <c r="F65" s="197">
        <f>F63</f>
        <v>2790645</v>
      </c>
      <c r="G65" s="244">
        <f>'YR 2 Rate Comp'!L18</f>
        <v>51.89</v>
      </c>
      <c r="H65" t="s">
        <v>241</v>
      </c>
      <c r="I65" s="197">
        <f>ROUND(E65*G65,2)</f>
        <v>38450.49</v>
      </c>
      <c r="J65" s="197"/>
      <c r="K65"/>
      <c r="L65" s="238"/>
    </row>
    <row r="66" spans="1:12" ht="15.4" x14ac:dyDescent="0.45">
      <c r="A66" s="92"/>
      <c r="B66" t="s">
        <v>52</v>
      </c>
      <c r="C66" s="197">
        <v>4000</v>
      </c>
      <c r="D66" t="s">
        <v>188</v>
      </c>
      <c r="E66" s="197"/>
      <c r="F66" s="197">
        <f>G63</f>
        <v>371341</v>
      </c>
      <c r="G66" s="271">
        <f>G46</f>
        <v>7.9100000000000004E-3</v>
      </c>
      <c r="H66" t="s">
        <v>240</v>
      </c>
      <c r="I66" s="197">
        <f>ROUND(F66*G66,2)</f>
        <v>2937.31</v>
      </c>
      <c r="J66" s="197"/>
      <c r="K66" s="197"/>
      <c r="L66" s="238"/>
    </row>
    <row r="67" spans="1:12" ht="15.4" x14ac:dyDescent="0.45">
      <c r="A67" s="92"/>
      <c r="B67" t="s">
        <v>52</v>
      </c>
      <c r="C67" s="197">
        <v>44000</v>
      </c>
      <c r="D67" t="s">
        <v>188</v>
      </c>
      <c r="E67" s="197"/>
      <c r="F67" s="197">
        <f>H63</f>
        <v>6460306</v>
      </c>
      <c r="G67" s="271">
        <f t="shared" ref="G67:G69" si="5">G47</f>
        <v>7.0200000000000002E-3</v>
      </c>
      <c r="H67" t="s">
        <v>240</v>
      </c>
      <c r="I67" s="197">
        <f t="shared" ref="I67:I69" si="6">ROUND(F67*G67,2)</f>
        <v>45351.35</v>
      </c>
      <c r="J67" s="197"/>
      <c r="K67" s="197"/>
      <c r="L67" s="238"/>
    </row>
    <row r="68" spans="1:12" ht="15.4" x14ac:dyDescent="0.45">
      <c r="A68" s="92"/>
      <c r="B68" t="s">
        <v>52</v>
      </c>
      <c r="C68" s="197">
        <v>50000</v>
      </c>
      <c r="D68" t="s">
        <v>188</v>
      </c>
      <c r="E68" s="197"/>
      <c r="F68" s="197">
        <f>I63</f>
        <v>3408284</v>
      </c>
      <c r="G68" s="271">
        <f t="shared" si="5"/>
        <v>6.0400000000000002E-3</v>
      </c>
      <c r="H68" t="s">
        <v>240</v>
      </c>
      <c r="I68" s="197">
        <f t="shared" si="6"/>
        <v>20586.04</v>
      </c>
      <c r="J68" s="197"/>
      <c r="K68" s="197"/>
      <c r="L68" s="238"/>
    </row>
    <row r="69" spans="1:12" ht="15.4" x14ac:dyDescent="0.45">
      <c r="A69" s="92"/>
      <c r="B69" t="s">
        <v>114</v>
      </c>
      <c r="C69" s="197">
        <f>SUM(C65:C68)</f>
        <v>100000</v>
      </c>
      <c r="D69" t="s">
        <v>188</v>
      </c>
      <c r="E69" s="197"/>
      <c r="F69" s="197">
        <f>J63</f>
        <v>2616157</v>
      </c>
      <c r="G69" s="271">
        <f t="shared" si="5"/>
        <v>5.0300000000000006E-3</v>
      </c>
      <c r="H69" t="s">
        <v>240</v>
      </c>
      <c r="I69" s="138">
        <f t="shared" si="6"/>
        <v>13159.27</v>
      </c>
      <c r="J69" s="197"/>
      <c r="K69" s="197"/>
      <c r="L69" s="238"/>
    </row>
    <row r="70" spans="1:12" ht="15.4" x14ac:dyDescent="0.45">
      <c r="A70" s="92"/>
      <c r="B70" t="s">
        <v>348</v>
      </c>
      <c r="C70" s="197"/>
      <c r="D70"/>
      <c r="E70" s="197">
        <f>SUM(E65:E69)</f>
        <v>741</v>
      </c>
      <c r="F70" s="197">
        <f>SUM(F65:F69)</f>
        <v>15646733</v>
      </c>
      <c r="G70"/>
      <c r="H70"/>
      <c r="I70" s="138">
        <f>SUM(I65:I69)</f>
        <v>120484.46</v>
      </c>
      <c r="J70" s="197"/>
      <c r="K70" s="197"/>
      <c r="L70" s="238"/>
    </row>
    <row r="71" spans="1:12" ht="15.4" x14ac:dyDescent="0.45">
      <c r="A71" s="92"/>
      <c r="B71"/>
      <c r="C71"/>
      <c r="D71" s="138"/>
      <c r="E71" s="138"/>
      <c r="F71" s="138"/>
      <c r="G71" s="138"/>
      <c r="H71" s="138"/>
      <c r="I71" s="138"/>
      <c r="J71" s="138"/>
      <c r="K71" s="138"/>
      <c r="L71" s="238"/>
    </row>
    <row r="72" spans="1:12" ht="15.4" x14ac:dyDescent="0.45">
      <c r="A72" s="92"/>
      <c r="B72" t="s">
        <v>350</v>
      </c>
      <c r="C72"/>
      <c r="D72" s="138"/>
      <c r="E72" s="138"/>
      <c r="F72" s="138"/>
      <c r="G72" s="138"/>
      <c r="H72" s="138"/>
      <c r="I72" s="138"/>
      <c r="J72" s="138"/>
      <c r="K72" s="138"/>
      <c r="L72" s="238"/>
    </row>
    <row r="73" spans="1:12" ht="15.4" x14ac:dyDescent="0.45">
      <c r="A73" s="92"/>
      <c r="B73"/>
      <c r="C73" s="197"/>
      <c r="D73" s="257" t="s">
        <v>187</v>
      </c>
      <c r="E73" s="523" t="s">
        <v>188</v>
      </c>
      <c r="F73" s="198">
        <f>C74</f>
        <v>10000</v>
      </c>
      <c r="G73" s="198">
        <f>C75</f>
        <v>40000</v>
      </c>
      <c r="H73" s="198">
        <f>C76</f>
        <v>50000</v>
      </c>
      <c r="I73" s="198">
        <f>C77</f>
        <v>100000</v>
      </c>
      <c r="J73" s="257" t="s">
        <v>32</v>
      </c>
      <c r="K73" s="138"/>
      <c r="L73" s="238"/>
    </row>
    <row r="74" spans="1:12" ht="15.4" x14ac:dyDescent="0.45">
      <c r="A74" s="92"/>
      <c r="B74" t="s">
        <v>51</v>
      </c>
      <c r="C74" s="197">
        <v>10000</v>
      </c>
      <c r="D74" s="197">
        <v>3</v>
      </c>
      <c r="E74" s="197">
        <v>22341</v>
      </c>
      <c r="F74" s="197">
        <f>E74</f>
        <v>22341</v>
      </c>
      <c r="G74" s="197"/>
      <c r="H74" s="197"/>
      <c r="I74" s="197"/>
      <c r="J74" s="197">
        <f>SUM(F74:I74)</f>
        <v>22341</v>
      </c>
      <c r="K74" s="138"/>
      <c r="L74" s="238"/>
    </row>
    <row r="75" spans="1:12" ht="15.4" x14ac:dyDescent="0.45">
      <c r="A75" s="92"/>
      <c r="B75" t="s">
        <v>52</v>
      </c>
      <c r="C75" s="197">
        <v>40000</v>
      </c>
      <c r="D75" s="197">
        <v>21</v>
      </c>
      <c r="E75" s="197">
        <v>518243</v>
      </c>
      <c r="F75" s="197">
        <f>D75*F73</f>
        <v>210000</v>
      </c>
      <c r="G75" s="197">
        <f>E75-F75</f>
        <v>308243</v>
      </c>
      <c r="H75" s="197"/>
      <c r="I75" s="197"/>
      <c r="J75" s="197">
        <f>SUM(F75:I75)</f>
        <v>518243</v>
      </c>
      <c r="K75" s="138"/>
      <c r="L75" s="238"/>
    </row>
    <row r="76" spans="1:12" ht="15.4" x14ac:dyDescent="0.45">
      <c r="A76" s="92"/>
      <c r="B76" t="s">
        <v>52</v>
      </c>
      <c r="C76" s="197">
        <v>50000</v>
      </c>
      <c r="D76" s="197">
        <v>3</v>
      </c>
      <c r="E76" s="197">
        <v>255307</v>
      </c>
      <c r="F76" s="197">
        <f>D76*F73</f>
        <v>30000</v>
      </c>
      <c r="G76" s="197">
        <f>D76*G73</f>
        <v>120000</v>
      </c>
      <c r="H76" s="197">
        <f>E76-F76-G76</f>
        <v>105307</v>
      </c>
      <c r="I76" s="197"/>
      <c r="J76" s="197">
        <f>SUM(F76:I76)</f>
        <v>255307</v>
      </c>
      <c r="K76" s="138"/>
      <c r="L76" s="238"/>
    </row>
    <row r="77" spans="1:12" ht="15.4" x14ac:dyDescent="0.45">
      <c r="A77" s="92"/>
      <c r="B77" t="s">
        <v>52</v>
      </c>
      <c r="C77" s="197">
        <f>SUM(C74:C76)</f>
        <v>100000</v>
      </c>
      <c r="D77" s="197">
        <v>23</v>
      </c>
      <c r="E77" s="197">
        <v>9866500</v>
      </c>
      <c r="F77" s="197">
        <f>D77*F73</f>
        <v>230000</v>
      </c>
      <c r="G77" s="197">
        <f>G73*D77</f>
        <v>920000</v>
      </c>
      <c r="H77" s="197">
        <f>H73*D77</f>
        <v>1150000</v>
      </c>
      <c r="I77" s="197">
        <f>E77-F77-G77-H77</f>
        <v>7566500</v>
      </c>
      <c r="J77" s="197">
        <f>SUM(F77:I77)</f>
        <v>9866500</v>
      </c>
      <c r="K77" s="138"/>
      <c r="L77" s="238"/>
    </row>
    <row r="78" spans="1:12" ht="15.4" x14ac:dyDescent="0.45">
      <c r="A78" s="92"/>
      <c r="B78"/>
      <c r="C78" s="197"/>
      <c r="D78" s="197">
        <f t="shared" ref="D78:J78" si="7">SUM(D74:D77)</f>
        <v>50</v>
      </c>
      <c r="E78" s="197">
        <f t="shared" si="7"/>
        <v>10662391</v>
      </c>
      <c r="F78" s="197">
        <f t="shared" si="7"/>
        <v>492341</v>
      </c>
      <c r="G78" s="197">
        <f t="shared" si="7"/>
        <v>1348243</v>
      </c>
      <c r="H78" s="197">
        <f t="shared" si="7"/>
        <v>1255307</v>
      </c>
      <c r="I78" s="197">
        <f t="shared" si="7"/>
        <v>7566500</v>
      </c>
      <c r="J78" s="197">
        <f t="shared" si="7"/>
        <v>10662391</v>
      </c>
      <c r="K78" s="138"/>
      <c r="L78" s="238"/>
    </row>
    <row r="79" spans="1:12" ht="15.4" x14ac:dyDescent="0.45">
      <c r="A79" s="92"/>
      <c r="B79"/>
      <c r="C79" s="197"/>
      <c r="D79"/>
      <c r="E79" s="138"/>
      <c r="F79"/>
      <c r="G79"/>
      <c r="H79"/>
      <c r="I79"/>
      <c r="J79" s="138"/>
      <c r="K79" s="138"/>
      <c r="L79" s="238"/>
    </row>
    <row r="80" spans="1:12" ht="15.4" x14ac:dyDescent="0.45">
      <c r="A80" s="92"/>
      <c r="B80"/>
      <c r="C80"/>
      <c r="D80"/>
      <c r="E80"/>
      <c r="F80"/>
      <c r="G80"/>
      <c r="H80"/>
      <c r="I80"/>
      <c r="J80"/>
      <c r="K80" s="138"/>
      <c r="L80" s="238"/>
    </row>
    <row r="81" spans="1:12" ht="15.4" x14ac:dyDescent="0.45">
      <c r="A81" s="92"/>
      <c r="B81" t="s">
        <v>51</v>
      </c>
      <c r="C81" s="197">
        <v>10000</v>
      </c>
      <c r="D81" t="s">
        <v>188</v>
      </c>
      <c r="E81" s="197">
        <f>D78</f>
        <v>50</v>
      </c>
      <c r="F81" s="197">
        <f>F78</f>
        <v>492341</v>
      </c>
      <c r="G81" s="244">
        <f>'YR 2 Rate Comp'!L25</f>
        <v>92.71</v>
      </c>
      <c r="H81" t="s">
        <v>241</v>
      </c>
      <c r="I81" s="197">
        <f>ROUND(E81*G81,2)</f>
        <v>4635.5</v>
      </c>
      <c r="J81" s="197"/>
      <c r="K81" s="138"/>
      <c r="L81" s="238"/>
    </row>
    <row r="82" spans="1:12" ht="15.4" x14ac:dyDescent="0.45">
      <c r="A82" s="92"/>
      <c r="B82" t="s">
        <v>52</v>
      </c>
      <c r="C82" s="197">
        <v>40000</v>
      </c>
      <c r="D82" t="s">
        <v>188</v>
      </c>
      <c r="E82" s="197"/>
      <c r="F82" s="197">
        <f>G78</f>
        <v>1348243</v>
      </c>
      <c r="G82" s="271">
        <f>G67</f>
        <v>7.0200000000000002E-3</v>
      </c>
      <c r="H82" t="s">
        <v>240</v>
      </c>
      <c r="I82" s="197">
        <f t="shared" ref="I82:I84" si="8">ROUND(F82*G82,2)</f>
        <v>9464.67</v>
      </c>
      <c r="J82" s="197"/>
      <c r="K82" s="138"/>
      <c r="L82" s="238"/>
    </row>
    <row r="83" spans="1:12" ht="15.4" x14ac:dyDescent="0.45">
      <c r="A83" s="92"/>
      <c r="B83" t="s">
        <v>52</v>
      </c>
      <c r="C83" s="197">
        <v>50000</v>
      </c>
      <c r="D83" t="s">
        <v>188</v>
      </c>
      <c r="E83" s="197"/>
      <c r="F83" s="197">
        <f>H78</f>
        <v>1255307</v>
      </c>
      <c r="G83" s="271">
        <f t="shared" ref="G83:G84" si="9">G68</f>
        <v>6.0400000000000002E-3</v>
      </c>
      <c r="H83" t="s">
        <v>240</v>
      </c>
      <c r="I83" s="197">
        <f t="shared" si="8"/>
        <v>7582.05</v>
      </c>
      <c r="J83" s="197"/>
      <c r="K83" s="138"/>
      <c r="L83" s="238"/>
    </row>
    <row r="84" spans="1:12" ht="15.4" x14ac:dyDescent="0.45">
      <c r="A84" s="92"/>
      <c r="B84" t="s">
        <v>114</v>
      </c>
      <c r="C84" s="197">
        <f>SUM(C81:C83)</f>
        <v>100000</v>
      </c>
      <c r="D84" t="s">
        <v>188</v>
      </c>
      <c r="E84" s="197"/>
      <c r="F84" s="197">
        <f>I78</f>
        <v>7566500</v>
      </c>
      <c r="G84" s="271">
        <f t="shared" si="9"/>
        <v>5.0300000000000006E-3</v>
      </c>
      <c r="H84" t="s">
        <v>240</v>
      </c>
      <c r="I84" s="197">
        <f t="shared" si="8"/>
        <v>38059.5</v>
      </c>
      <c r="J84" s="197"/>
      <c r="K84" s="138"/>
      <c r="L84" s="238"/>
    </row>
    <row r="85" spans="1:12" ht="15.4" x14ac:dyDescent="0.45">
      <c r="A85" s="92"/>
      <c r="B85" t="s">
        <v>348</v>
      </c>
      <c r="C85" s="197"/>
      <c r="D85"/>
      <c r="E85" s="197">
        <f>SUM(E81:E84)</f>
        <v>50</v>
      </c>
      <c r="F85" s="197">
        <f>SUM(F81:F84)</f>
        <v>10662391</v>
      </c>
      <c r="G85"/>
      <c r="H85"/>
      <c r="I85" s="138">
        <f>SUM(I81:I84)</f>
        <v>59741.72</v>
      </c>
      <c r="J85" s="197"/>
      <c r="K85" s="138"/>
      <c r="L85" s="238"/>
    </row>
    <row r="86" spans="1:12" ht="15.4" x14ac:dyDescent="0.45">
      <c r="A86" s="92"/>
      <c r="B86"/>
      <c r="C86" s="197"/>
      <c r="D86"/>
      <c r="E86" s="197"/>
      <c r="F86" s="197"/>
      <c r="G86"/>
      <c r="H86"/>
      <c r="I86" s="138"/>
      <c r="J86" s="197"/>
      <c r="K86" s="138"/>
      <c r="L86" s="238"/>
    </row>
    <row r="87" spans="1:12" ht="15.4" x14ac:dyDescent="0.45">
      <c r="A87" s="92"/>
      <c r="B87" t="s">
        <v>336</v>
      </c>
      <c r="C87"/>
      <c r="D87" s="138"/>
      <c r="E87" s="138"/>
      <c r="F87" s="138"/>
      <c r="G87" s="138"/>
      <c r="H87" s="138"/>
      <c r="I87" s="138"/>
      <c r="J87" s="138"/>
      <c r="K87" s="138"/>
      <c r="L87" s="238"/>
    </row>
    <row r="88" spans="1:12" ht="15.4" x14ac:dyDescent="0.45">
      <c r="A88" s="92"/>
      <c r="B88"/>
      <c r="C88" s="197"/>
      <c r="D88" s="257" t="s">
        <v>187</v>
      </c>
      <c r="E88" s="523" t="s">
        <v>188</v>
      </c>
      <c r="F88" s="198">
        <f>C89</f>
        <v>16000</v>
      </c>
      <c r="G88" s="198">
        <f>C90</f>
        <v>34000</v>
      </c>
      <c r="H88" s="198">
        <f>C91</f>
        <v>50000</v>
      </c>
      <c r="I88" s="198">
        <f>C92</f>
        <v>100000</v>
      </c>
      <c r="J88" s="257" t="s">
        <v>32</v>
      </c>
      <c r="K88" s="138"/>
      <c r="L88" s="238"/>
    </row>
    <row r="89" spans="1:12" ht="15.4" x14ac:dyDescent="0.45">
      <c r="A89" s="92"/>
      <c r="B89" t="s">
        <v>51</v>
      </c>
      <c r="C89" s="197">
        <v>16000</v>
      </c>
      <c r="D89" s="197">
        <v>18</v>
      </c>
      <c r="E89" s="197">
        <v>93348</v>
      </c>
      <c r="F89" s="197">
        <f>E89</f>
        <v>93348</v>
      </c>
      <c r="G89" s="197"/>
      <c r="H89" s="197"/>
      <c r="I89" s="197"/>
      <c r="J89" s="197">
        <f>SUM(F89:I89)</f>
        <v>93348</v>
      </c>
      <c r="K89" s="138"/>
      <c r="L89" s="238"/>
    </row>
    <row r="90" spans="1:12" ht="15.4" x14ac:dyDescent="0.45">
      <c r="A90" s="92"/>
      <c r="B90" t="s">
        <v>52</v>
      </c>
      <c r="C90" s="197">
        <v>34000</v>
      </c>
      <c r="D90" s="197">
        <v>17</v>
      </c>
      <c r="E90" s="197">
        <v>510798</v>
      </c>
      <c r="F90" s="197">
        <f>D90*F88</f>
        <v>272000</v>
      </c>
      <c r="G90" s="197">
        <f>E90-F90</f>
        <v>238798</v>
      </c>
      <c r="H90" s="197"/>
      <c r="I90" s="197"/>
      <c r="J90" s="197">
        <f>SUM(F90:I90)</f>
        <v>510798</v>
      </c>
      <c r="K90" s="138"/>
      <c r="L90" s="238"/>
    </row>
    <row r="91" spans="1:12" ht="15.4" x14ac:dyDescent="0.45">
      <c r="A91" s="92"/>
      <c r="B91" t="s">
        <v>52</v>
      </c>
      <c r="C91" s="197">
        <v>50000</v>
      </c>
      <c r="D91" s="197">
        <v>33</v>
      </c>
      <c r="E91" s="197">
        <v>2074154</v>
      </c>
      <c r="F91" s="197">
        <f>D91*F88</f>
        <v>528000</v>
      </c>
      <c r="G91" s="197">
        <f>D91*G88</f>
        <v>1122000</v>
      </c>
      <c r="H91" s="197">
        <f>E91-F91-G91</f>
        <v>424154</v>
      </c>
      <c r="I91" s="197"/>
      <c r="J91" s="197">
        <f>SUM(F91:I91)</f>
        <v>2074154</v>
      </c>
      <c r="K91" s="138"/>
      <c r="L91" s="238"/>
    </row>
    <row r="92" spans="1:12" ht="15.4" x14ac:dyDescent="0.45">
      <c r="A92" s="92"/>
      <c r="B92" t="s">
        <v>52</v>
      </c>
      <c r="C92" s="197">
        <f>SUM(C89:C91)</f>
        <v>100000</v>
      </c>
      <c r="D92" s="197">
        <v>4</v>
      </c>
      <c r="E92" s="197">
        <v>517789</v>
      </c>
      <c r="F92" s="197">
        <f>D92*F88</f>
        <v>64000</v>
      </c>
      <c r="G92" s="197">
        <f>G88*D92</f>
        <v>136000</v>
      </c>
      <c r="H92" s="197">
        <f>H88*D92</f>
        <v>200000</v>
      </c>
      <c r="I92" s="197">
        <f>E92-F92-G92-H92</f>
        <v>117789</v>
      </c>
      <c r="J92" s="197">
        <f>SUM(F92:I92)</f>
        <v>517789</v>
      </c>
      <c r="K92" s="138"/>
      <c r="L92" s="238"/>
    </row>
    <row r="93" spans="1:12" ht="15.4" x14ac:dyDescent="0.45">
      <c r="A93" s="92"/>
      <c r="B93"/>
      <c r="C93" s="197"/>
      <c r="D93" s="197">
        <f t="shared" ref="D93:J93" si="10">SUM(D89:D92)</f>
        <v>72</v>
      </c>
      <c r="E93" s="197">
        <f t="shared" si="10"/>
        <v>3196089</v>
      </c>
      <c r="F93" s="197">
        <f t="shared" si="10"/>
        <v>957348</v>
      </c>
      <c r="G93" s="197">
        <f t="shared" si="10"/>
        <v>1496798</v>
      </c>
      <c r="H93" s="197">
        <f t="shared" si="10"/>
        <v>624154</v>
      </c>
      <c r="I93" s="197">
        <f t="shared" si="10"/>
        <v>117789</v>
      </c>
      <c r="J93" s="197">
        <f t="shared" si="10"/>
        <v>3196089</v>
      </c>
      <c r="K93" s="138"/>
      <c r="L93" s="238"/>
    </row>
    <row r="94" spans="1:12" ht="15.4" x14ac:dyDescent="0.45">
      <c r="A94" s="92"/>
      <c r="B94"/>
      <c r="C94" s="197"/>
      <c r="D94"/>
      <c r="E94" s="138"/>
      <c r="F94"/>
      <c r="G94"/>
      <c r="H94"/>
      <c r="I94"/>
      <c r="J94" s="138"/>
      <c r="K94" s="138"/>
      <c r="L94" s="238"/>
    </row>
    <row r="95" spans="1:12" ht="15.4" x14ac:dyDescent="0.45">
      <c r="A95" s="92"/>
      <c r="B95"/>
      <c r="C95"/>
      <c r="D95"/>
      <c r="E95"/>
      <c r="F95"/>
      <c r="G95"/>
      <c r="H95"/>
      <c r="I95"/>
      <c r="J95"/>
      <c r="K95" s="138"/>
      <c r="L95" s="238"/>
    </row>
    <row r="96" spans="1:12" ht="15.4" x14ac:dyDescent="0.45">
      <c r="A96" s="92"/>
      <c r="B96" t="s">
        <v>51</v>
      </c>
      <c r="C96" s="197">
        <v>16000</v>
      </c>
      <c r="D96" t="s">
        <v>188</v>
      </c>
      <c r="E96" s="197">
        <f>D93</f>
        <v>72</v>
      </c>
      <c r="F96" s="197">
        <f>F93</f>
        <v>957348</v>
      </c>
      <c r="G96" s="244">
        <f>'YR 2 Rate Comp'!L31</f>
        <v>136.09</v>
      </c>
      <c r="H96" t="s">
        <v>241</v>
      </c>
      <c r="I96" s="197">
        <f>ROUND(E96*G96,2)</f>
        <v>9798.48</v>
      </c>
      <c r="J96" s="197"/>
      <c r="K96" s="138"/>
      <c r="L96" s="238"/>
    </row>
    <row r="97" spans="1:12" ht="15.4" x14ac:dyDescent="0.45">
      <c r="A97" s="92"/>
      <c r="B97" t="s">
        <v>52</v>
      </c>
      <c r="C97" s="197">
        <v>34000</v>
      </c>
      <c r="D97" t="s">
        <v>188</v>
      </c>
      <c r="E97" s="197"/>
      <c r="F97" s="197">
        <f>G93</f>
        <v>1496798</v>
      </c>
      <c r="G97" s="271">
        <f>G82</f>
        <v>7.0200000000000002E-3</v>
      </c>
      <c r="H97" t="s">
        <v>240</v>
      </c>
      <c r="I97" s="197">
        <f t="shared" ref="I97:I99" si="11">ROUND(F97*G97,2)</f>
        <v>10507.52</v>
      </c>
      <c r="J97" s="197"/>
      <c r="K97" s="138"/>
      <c r="L97" s="238"/>
    </row>
    <row r="98" spans="1:12" ht="15.4" x14ac:dyDescent="0.45">
      <c r="A98" s="92"/>
      <c r="B98" t="s">
        <v>52</v>
      </c>
      <c r="C98" s="197">
        <v>50000</v>
      </c>
      <c r="D98" t="s">
        <v>188</v>
      </c>
      <c r="E98" s="197"/>
      <c r="F98" s="197">
        <f>H93</f>
        <v>624154</v>
      </c>
      <c r="G98" s="271">
        <f t="shared" ref="G98:G99" si="12">G83</f>
        <v>6.0400000000000002E-3</v>
      </c>
      <c r="H98" t="s">
        <v>240</v>
      </c>
      <c r="I98" s="197">
        <f t="shared" si="11"/>
        <v>3769.89</v>
      </c>
      <c r="J98" s="197"/>
      <c r="K98" s="138"/>
      <c r="L98" s="238"/>
    </row>
    <row r="99" spans="1:12" ht="15.4" x14ac:dyDescent="0.45">
      <c r="A99" s="92"/>
      <c r="B99" t="s">
        <v>114</v>
      </c>
      <c r="C99" s="197">
        <f>SUM(C96:C98)</f>
        <v>100000</v>
      </c>
      <c r="D99" t="s">
        <v>188</v>
      </c>
      <c r="E99" s="197"/>
      <c r="F99" s="197">
        <f>I93</f>
        <v>117789</v>
      </c>
      <c r="G99" s="271">
        <f t="shared" si="12"/>
        <v>5.0300000000000006E-3</v>
      </c>
      <c r="H99" t="s">
        <v>240</v>
      </c>
      <c r="I99" s="197">
        <f t="shared" si="11"/>
        <v>592.48</v>
      </c>
      <c r="J99" s="197"/>
      <c r="K99" s="138"/>
      <c r="L99" s="238"/>
    </row>
    <row r="100" spans="1:12" ht="15.4" x14ac:dyDescent="0.45">
      <c r="A100" s="92"/>
      <c r="B100" t="s">
        <v>348</v>
      </c>
      <c r="C100" s="197"/>
      <c r="D100"/>
      <c r="E100" s="197">
        <f>SUM(E96:E99)</f>
        <v>72</v>
      </c>
      <c r="F100" s="197">
        <f>SUM(F96:F99)</f>
        <v>3196089</v>
      </c>
      <c r="G100"/>
      <c r="H100"/>
      <c r="I100" s="138">
        <f>SUM(I96:I99)</f>
        <v>24668.37</v>
      </c>
      <c r="J100" s="197"/>
      <c r="K100" s="138"/>
      <c r="L100" s="238"/>
    </row>
    <row r="101" spans="1:12" ht="15.4" x14ac:dyDescent="0.45">
      <c r="A101" s="92"/>
      <c r="B101"/>
      <c r="C101" s="197"/>
      <c r="D101"/>
      <c r="E101" s="197"/>
      <c r="F101" s="197"/>
      <c r="G101"/>
      <c r="H101"/>
      <c r="I101" s="197"/>
      <c r="J101" s="197"/>
      <c r="K101" s="138"/>
      <c r="L101" s="238"/>
    </row>
    <row r="102" spans="1:12" ht="15.4" x14ac:dyDescent="0.45">
      <c r="A102" s="92"/>
      <c r="B102" t="s">
        <v>338</v>
      </c>
      <c r="C102"/>
      <c r="D102" s="138"/>
      <c r="E102" s="138"/>
      <c r="F102" s="138"/>
      <c r="G102" s="138"/>
      <c r="H102" s="138"/>
      <c r="I102" s="138"/>
      <c r="J102" s="138"/>
      <c r="K102" s="138"/>
      <c r="L102" s="238"/>
    </row>
    <row r="103" spans="1:12" ht="15.4" x14ac:dyDescent="0.45">
      <c r="A103" s="92"/>
      <c r="B103"/>
      <c r="C103" s="197"/>
      <c r="D103" s="257" t="s">
        <v>187</v>
      </c>
      <c r="E103" s="523" t="s">
        <v>188</v>
      </c>
      <c r="F103" s="198">
        <v>30000</v>
      </c>
      <c r="G103" s="198">
        <v>20000</v>
      </c>
      <c r="H103" s="198">
        <f>C106</f>
        <v>50000</v>
      </c>
      <c r="I103" s="198">
        <f>C107</f>
        <v>100000</v>
      </c>
      <c r="J103" s="257" t="s">
        <v>32</v>
      </c>
      <c r="K103" s="138"/>
      <c r="L103" s="238"/>
    </row>
    <row r="104" spans="1:12" ht="15.4" x14ac:dyDescent="0.45">
      <c r="A104" s="92"/>
      <c r="B104" t="s">
        <v>51</v>
      </c>
      <c r="C104" s="197">
        <v>20000</v>
      </c>
      <c r="D104" s="197">
        <v>2</v>
      </c>
      <c r="E104" s="197">
        <v>17069</v>
      </c>
      <c r="F104" s="197">
        <f>E104</f>
        <v>17069</v>
      </c>
      <c r="G104" s="197"/>
      <c r="H104" s="197"/>
      <c r="I104" s="197"/>
      <c r="J104" s="197">
        <f>SUM(F104:I104)</f>
        <v>17069</v>
      </c>
      <c r="K104" s="138"/>
      <c r="L104" s="238"/>
    </row>
    <row r="105" spans="1:12" ht="15.4" x14ac:dyDescent="0.45">
      <c r="A105" s="92"/>
      <c r="B105" t="s">
        <v>52</v>
      </c>
      <c r="C105" s="197">
        <v>30000</v>
      </c>
      <c r="D105" s="197">
        <v>2</v>
      </c>
      <c r="E105" s="197">
        <v>75910</v>
      </c>
      <c r="F105" s="197">
        <f>D105*F103</f>
        <v>60000</v>
      </c>
      <c r="G105" s="197">
        <f>E105-F105</f>
        <v>15910</v>
      </c>
      <c r="H105" s="197"/>
      <c r="I105" s="197"/>
      <c r="J105" s="197">
        <f>SUM(F105:I105)</f>
        <v>75910</v>
      </c>
      <c r="K105" s="138"/>
      <c r="L105" s="238"/>
    </row>
    <row r="106" spans="1:12" ht="15.4" x14ac:dyDescent="0.45">
      <c r="A106" s="92"/>
      <c r="B106" t="s">
        <v>52</v>
      </c>
      <c r="C106" s="197">
        <v>50000</v>
      </c>
      <c r="D106" s="197">
        <v>3</v>
      </c>
      <c r="E106" s="197">
        <v>192561</v>
      </c>
      <c r="F106" s="197">
        <f>D106*F103</f>
        <v>90000</v>
      </c>
      <c r="G106" s="197">
        <f>D106*G103</f>
        <v>60000</v>
      </c>
      <c r="H106" s="197">
        <f>E106-F106-G106</f>
        <v>42561</v>
      </c>
      <c r="I106" s="197"/>
      <c r="J106" s="197">
        <f>SUM(F106:I106)</f>
        <v>192561</v>
      </c>
      <c r="K106" s="138"/>
      <c r="L106" s="238"/>
    </row>
    <row r="107" spans="1:12" ht="15.4" x14ac:dyDescent="0.45">
      <c r="A107" s="92"/>
      <c r="B107" t="s">
        <v>52</v>
      </c>
      <c r="C107" s="197">
        <f>SUM(C104:C106)</f>
        <v>100000</v>
      </c>
      <c r="D107" s="197">
        <v>5</v>
      </c>
      <c r="E107" s="197">
        <v>678619</v>
      </c>
      <c r="F107" s="197">
        <f>D107*F103</f>
        <v>150000</v>
      </c>
      <c r="G107" s="197">
        <f>G103*D107</f>
        <v>100000</v>
      </c>
      <c r="H107" s="197">
        <f>H103*D107</f>
        <v>250000</v>
      </c>
      <c r="I107" s="197">
        <f>E107-F107-G107-H107</f>
        <v>178619</v>
      </c>
      <c r="J107" s="197">
        <f>SUM(F107:I107)</f>
        <v>678619</v>
      </c>
      <c r="K107" s="138"/>
      <c r="L107" s="238"/>
    </row>
    <row r="108" spans="1:12" ht="15.4" x14ac:dyDescent="0.45">
      <c r="A108" s="92"/>
      <c r="B108"/>
      <c r="C108" s="197"/>
      <c r="D108" s="197">
        <f t="shared" ref="D108:J108" si="13">SUM(D104:D107)</f>
        <v>12</v>
      </c>
      <c r="E108" s="197">
        <f t="shared" si="13"/>
        <v>964159</v>
      </c>
      <c r="F108" s="197">
        <f t="shared" si="13"/>
        <v>317069</v>
      </c>
      <c r="G108" s="197">
        <f t="shared" si="13"/>
        <v>175910</v>
      </c>
      <c r="H108" s="197">
        <f t="shared" si="13"/>
        <v>292561</v>
      </c>
      <c r="I108" s="197">
        <f t="shared" si="13"/>
        <v>178619</v>
      </c>
      <c r="J108" s="197">
        <f t="shared" si="13"/>
        <v>964159</v>
      </c>
      <c r="K108" s="138"/>
      <c r="L108" s="238"/>
    </row>
    <row r="109" spans="1:12" ht="15.4" x14ac:dyDescent="0.45">
      <c r="A109" s="92"/>
      <c r="B109"/>
      <c r="C109" s="197"/>
      <c r="D109"/>
      <c r="E109" s="138"/>
      <c r="F109"/>
      <c r="G109"/>
      <c r="H109"/>
      <c r="I109"/>
      <c r="J109" s="138"/>
      <c r="K109" s="138"/>
      <c r="L109" s="238"/>
    </row>
    <row r="110" spans="1:12" ht="15.4" x14ac:dyDescent="0.45">
      <c r="A110" s="92"/>
      <c r="B110"/>
      <c r="C110"/>
      <c r="D110"/>
      <c r="E110"/>
      <c r="F110"/>
      <c r="G110"/>
      <c r="H110"/>
      <c r="I110"/>
      <c r="J110"/>
      <c r="K110" s="138"/>
      <c r="L110" s="238"/>
    </row>
    <row r="111" spans="1:12" ht="15.4" x14ac:dyDescent="0.45">
      <c r="A111" s="92"/>
      <c r="B111" t="s">
        <v>51</v>
      </c>
      <c r="C111" s="197">
        <f>F103</f>
        <v>30000</v>
      </c>
      <c r="D111" t="s">
        <v>188</v>
      </c>
      <c r="E111" s="197">
        <f>D108</f>
        <v>12</v>
      </c>
      <c r="F111" s="197">
        <f>F108</f>
        <v>317069</v>
      </c>
      <c r="G111" s="244">
        <f>'YR 2 Rate Comp'!L43</f>
        <v>305.64</v>
      </c>
      <c r="H111" t="s">
        <v>241</v>
      </c>
      <c r="I111" s="138">
        <f>ROUND(E111*G111,2)</f>
        <v>3667.68</v>
      </c>
      <c r="J111" s="197"/>
      <c r="K111" s="138"/>
      <c r="L111" s="238"/>
    </row>
    <row r="112" spans="1:12" ht="15.4" x14ac:dyDescent="0.45">
      <c r="A112" s="92"/>
      <c r="B112" t="s">
        <v>52</v>
      </c>
      <c r="C112" s="197">
        <f>G103</f>
        <v>20000</v>
      </c>
      <c r="D112" t="s">
        <v>188</v>
      </c>
      <c r="E112" s="197"/>
      <c r="F112" s="197">
        <f>G108</f>
        <v>175910</v>
      </c>
      <c r="G112" s="271">
        <f>G97</f>
        <v>7.0200000000000002E-3</v>
      </c>
      <c r="H112" t="s">
        <v>240</v>
      </c>
      <c r="I112" s="138">
        <f t="shared" ref="I112:I114" si="14">ROUND(F112*G112,2)</f>
        <v>1234.8900000000001</v>
      </c>
      <c r="J112" s="197"/>
      <c r="K112" s="138"/>
      <c r="L112" s="238"/>
    </row>
    <row r="113" spans="1:12" ht="15.4" x14ac:dyDescent="0.45">
      <c r="A113" s="92"/>
      <c r="B113" t="s">
        <v>52</v>
      </c>
      <c r="C113" s="197">
        <f>H103</f>
        <v>50000</v>
      </c>
      <c r="D113" t="s">
        <v>188</v>
      </c>
      <c r="E113" s="197"/>
      <c r="F113" s="197">
        <f>H108</f>
        <v>292561</v>
      </c>
      <c r="G113" s="271">
        <f t="shared" ref="G113:G114" si="15">G98</f>
        <v>6.0400000000000002E-3</v>
      </c>
      <c r="H113" t="s">
        <v>240</v>
      </c>
      <c r="I113" s="138">
        <f t="shared" si="14"/>
        <v>1767.07</v>
      </c>
      <c r="J113" s="197"/>
      <c r="K113" s="138"/>
      <c r="L113" s="238"/>
    </row>
    <row r="114" spans="1:12" ht="15.4" x14ac:dyDescent="0.45">
      <c r="A114" s="92"/>
      <c r="B114" t="s">
        <v>114</v>
      </c>
      <c r="C114" s="197">
        <f>SUM(C111:C113)</f>
        <v>100000</v>
      </c>
      <c r="D114" t="s">
        <v>188</v>
      </c>
      <c r="E114" s="197"/>
      <c r="F114" s="197">
        <f>I108</f>
        <v>178619</v>
      </c>
      <c r="G114" s="271">
        <f t="shared" si="15"/>
        <v>5.0300000000000006E-3</v>
      </c>
      <c r="H114" t="s">
        <v>240</v>
      </c>
      <c r="I114" s="138">
        <f t="shared" si="14"/>
        <v>898.45</v>
      </c>
      <c r="J114" s="197"/>
      <c r="K114" s="138"/>
      <c r="L114" s="238"/>
    </row>
    <row r="115" spans="1:12" ht="15.4" x14ac:dyDescent="0.45">
      <c r="A115" s="92"/>
      <c r="B115" t="s">
        <v>348</v>
      </c>
      <c r="C115" s="197"/>
      <c r="D115"/>
      <c r="E115" s="197">
        <f>SUM(E111:E114)</f>
        <v>12</v>
      </c>
      <c r="F115" s="197">
        <f>SUM(F111:F114)</f>
        <v>964159</v>
      </c>
      <c r="G115"/>
      <c r="H115"/>
      <c r="I115" s="138">
        <f>SUM(I111:I114)</f>
        <v>7568.0899999999992</v>
      </c>
      <c r="J115" s="197"/>
      <c r="K115" s="138"/>
      <c r="L115" s="238"/>
    </row>
    <row r="116" spans="1:12" ht="15.4" x14ac:dyDescent="0.45">
      <c r="A116" s="92"/>
      <c r="B116"/>
      <c r="C116"/>
      <c r="D116" s="138"/>
      <c r="E116" s="138"/>
      <c r="F116" s="138"/>
      <c r="G116" s="138"/>
      <c r="H116" s="138"/>
      <c r="I116" s="138"/>
      <c r="J116" s="138"/>
      <c r="K116" s="138"/>
      <c r="L116" s="238"/>
    </row>
    <row r="117" spans="1:12" ht="15.4" x14ac:dyDescent="0.45">
      <c r="A117" s="92"/>
      <c r="B117" t="s">
        <v>339</v>
      </c>
      <c r="C117"/>
      <c r="D117" s="138"/>
      <c r="E117" s="138"/>
      <c r="F117" s="138"/>
      <c r="G117" s="138"/>
      <c r="H117" s="138"/>
      <c r="I117" s="138"/>
      <c r="J117" s="138"/>
      <c r="K117" s="138"/>
      <c r="L117" s="238"/>
    </row>
    <row r="118" spans="1:12" ht="15.4" x14ac:dyDescent="0.45">
      <c r="A118" s="92"/>
      <c r="B118"/>
      <c r="C118" s="197"/>
      <c r="D118" s="257" t="s">
        <v>187</v>
      </c>
      <c r="E118" s="523" t="s">
        <v>188</v>
      </c>
      <c r="F118" s="198">
        <f>C119</f>
        <v>60000</v>
      </c>
      <c r="G118" s="198">
        <f>C120</f>
        <v>40000</v>
      </c>
      <c r="H118" s="198">
        <f>C121</f>
        <v>100000</v>
      </c>
      <c r="I118" s="198"/>
      <c r="J118" s="138"/>
      <c r="K118" s="138"/>
      <c r="L118" s="238"/>
    </row>
    <row r="119" spans="1:12" ht="15.4" x14ac:dyDescent="0.45">
      <c r="A119" s="92"/>
      <c r="B119" t="s">
        <v>51</v>
      </c>
      <c r="C119" s="197">
        <v>60000</v>
      </c>
      <c r="D119" s="197">
        <v>34</v>
      </c>
      <c r="E119" s="197">
        <v>599082</v>
      </c>
      <c r="F119" s="197">
        <f>E119</f>
        <v>599082</v>
      </c>
      <c r="G119" s="197"/>
      <c r="H119" s="197"/>
      <c r="I119" s="197"/>
      <c r="J119" s="138"/>
      <c r="K119" s="138"/>
      <c r="L119" s="238"/>
    </row>
    <row r="120" spans="1:12" ht="15.4" x14ac:dyDescent="0.45">
      <c r="A120" s="92"/>
      <c r="B120" t="s">
        <v>52</v>
      </c>
      <c r="C120" s="197">
        <v>40000</v>
      </c>
      <c r="D120" s="197">
        <v>9</v>
      </c>
      <c r="E120" s="197">
        <v>697358</v>
      </c>
      <c r="F120" s="197">
        <f>D120*F118</f>
        <v>540000</v>
      </c>
      <c r="G120" s="197">
        <f>E120-F120</f>
        <v>157358</v>
      </c>
      <c r="H120" s="197"/>
      <c r="I120" s="197"/>
      <c r="J120" s="138"/>
      <c r="K120" s="138"/>
      <c r="L120" s="238"/>
    </row>
    <row r="121" spans="1:12" ht="15.4" x14ac:dyDescent="0.45">
      <c r="A121" s="92"/>
      <c r="B121" t="s">
        <v>52</v>
      </c>
      <c r="C121" s="197">
        <f>SUM(C119:C120)</f>
        <v>100000</v>
      </c>
      <c r="D121" s="197">
        <v>5</v>
      </c>
      <c r="E121" s="197">
        <v>619573</v>
      </c>
      <c r="F121" s="197">
        <f>D121*F118</f>
        <v>300000</v>
      </c>
      <c r="G121" s="197">
        <f>G118*D121</f>
        <v>200000</v>
      </c>
      <c r="H121" s="197">
        <f>E121-F121-G121</f>
        <v>119573</v>
      </c>
      <c r="I121" s="197"/>
      <c r="J121" s="138"/>
      <c r="K121" s="138"/>
      <c r="L121" s="238"/>
    </row>
    <row r="122" spans="1:12" ht="15.4" x14ac:dyDescent="0.45">
      <c r="A122" s="92"/>
      <c r="B122"/>
      <c r="C122" s="197"/>
      <c r="D122" s="197">
        <f t="shared" ref="D122:H122" si="16">SUM(D119:D121)</f>
        <v>48</v>
      </c>
      <c r="E122" s="197">
        <f t="shared" si="16"/>
        <v>1916013</v>
      </c>
      <c r="F122" s="197">
        <f t="shared" si="16"/>
        <v>1439082</v>
      </c>
      <c r="G122" s="197">
        <f t="shared" si="16"/>
        <v>357358</v>
      </c>
      <c r="H122" s="197">
        <f t="shared" si="16"/>
        <v>119573</v>
      </c>
      <c r="I122" s="197"/>
      <c r="J122" s="138"/>
      <c r="K122" s="138"/>
      <c r="L122" s="238"/>
    </row>
    <row r="123" spans="1:12" ht="15.4" x14ac:dyDescent="0.45">
      <c r="A123" s="92"/>
      <c r="B123"/>
      <c r="C123" s="197"/>
      <c r="D123"/>
      <c r="E123" s="138"/>
      <c r="F123"/>
      <c r="G123"/>
      <c r="H123"/>
      <c r="I123" s="197"/>
      <c r="J123" s="138"/>
      <c r="K123" s="138"/>
      <c r="L123" s="238"/>
    </row>
    <row r="124" spans="1:12" ht="15.4" x14ac:dyDescent="0.45">
      <c r="A124" s="92"/>
      <c r="B124"/>
      <c r="C124"/>
      <c r="D124"/>
      <c r="E124"/>
      <c r="F124"/>
      <c r="G124"/>
      <c r="H124"/>
      <c r="I124"/>
      <c r="J124" s="138"/>
      <c r="K124" s="138"/>
      <c r="L124" s="238"/>
    </row>
    <row r="125" spans="1:12" ht="15.4" x14ac:dyDescent="0.45">
      <c r="A125" s="92"/>
      <c r="B125" t="s">
        <v>51</v>
      </c>
      <c r="C125" s="197">
        <v>60000</v>
      </c>
      <c r="D125" t="s">
        <v>188</v>
      </c>
      <c r="E125" s="197">
        <f>D122</f>
        <v>48</v>
      </c>
      <c r="F125" s="197">
        <f>F122</f>
        <v>1439082</v>
      </c>
      <c r="G125" s="244">
        <f>'YR 2 Rate Comp'!L49</f>
        <v>533.87</v>
      </c>
      <c r="H125" t="s">
        <v>241</v>
      </c>
      <c r="I125" s="138">
        <f>ROUND(E125*G125,2)</f>
        <v>25625.759999999998</v>
      </c>
      <c r="J125" s="138"/>
      <c r="K125" s="138"/>
      <c r="L125" s="238"/>
    </row>
    <row r="126" spans="1:12" ht="15.4" x14ac:dyDescent="0.45">
      <c r="A126" s="92"/>
      <c r="B126" t="s">
        <v>52</v>
      </c>
      <c r="C126" s="197">
        <v>40000</v>
      </c>
      <c r="D126" t="s">
        <v>188</v>
      </c>
      <c r="E126" s="197"/>
      <c r="F126" s="197">
        <f>G122</f>
        <v>357358</v>
      </c>
      <c r="G126" s="271">
        <f>G113</f>
        <v>6.0400000000000002E-3</v>
      </c>
      <c r="H126" t="s">
        <v>240</v>
      </c>
      <c r="I126" s="138">
        <f>ROUND(F126*G126,2)</f>
        <v>2158.44</v>
      </c>
      <c r="J126" s="138"/>
      <c r="K126" s="138"/>
      <c r="L126" s="238"/>
    </row>
    <row r="127" spans="1:12" ht="15.4" x14ac:dyDescent="0.45">
      <c r="A127" s="92"/>
      <c r="B127" t="s">
        <v>114</v>
      </c>
      <c r="C127" s="197">
        <f>SUM(C125:C126)</f>
        <v>100000</v>
      </c>
      <c r="D127" t="s">
        <v>188</v>
      </c>
      <c r="E127" s="197"/>
      <c r="F127" s="197">
        <f>H122</f>
        <v>119573</v>
      </c>
      <c r="G127" s="271">
        <f>G114</f>
        <v>5.0300000000000006E-3</v>
      </c>
      <c r="H127" t="s">
        <v>240</v>
      </c>
      <c r="I127" s="138">
        <f>ROUND(F127*G127,2)</f>
        <v>601.45000000000005</v>
      </c>
      <c r="J127" s="138"/>
      <c r="K127" s="138"/>
      <c r="L127" s="238"/>
    </row>
    <row r="128" spans="1:12" ht="15.4" x14ac:dyDescent="0.45">
      <c r="A128" s="92"/>
      <c r="B128" t="s">
        <v>348</v>
      </c>
      <c r="C128" s="197"/>
      <c r="D128"/>
      <c r="E128" s="197">
        <f>SUM(E125:E127)</f>
        <v>48</v>
      </c>
      <c r="F128" s="197">
        <f>SUM(F125:F127)</f>
        <v>1916013</v>
      </c>
      <c r="G128"/>
      <c r="I128" s="138">
        <f>SUM(I125:I127)</f>
        <v>28385.649999999998</v>
      </c>
      <c r="J128" s="138"/>
      <c r="K128" s="138"/>
      <c r="L128" s="238"/>
    </row>
    <row r="129" spans="1:12" ht="15.4" x14ac:dyDescent="0.45">
      <c r="A129" s="92"/>
      <c r="B129"/>
      <c r="C129" s="197"/>
      <c r="D129"/>
      <c r="E129" s="197"/>
      <c r="F129" s="197"/>
      <c r="G129" s="271"/>
      <c r="H129"/>
      <c r="I129" s="138"/>
      <c r="J129" s="138"/>
      <c r="K129" s="138"/>
      <c r="L129" s="238"/>
    </row>
    <row r="130" spans="1:12" ht="15.4" x14ac:dyDescent="0.45">
      <c r="A130" s="92"/>
      <c r="B130"/>
      <c r="C130" s="197"/>
      <c r="D130"/>
      <c r="E130" s="197"/>
      <c r="F130" s="197"/>
      <c r="G130"/>
      <c r="H130"/>
      <c r="I130" s="138"/>
      <c r="J130" s="138"/>
      <c r="K130" s="138"/>
      <c r="L130" s="238"/>
    </row>
    <row r="131" spans="1:12" ht="15.4" x14ac:dyDescent="0.45">
      <c r="A131" s="92"/>
      <c r="B131"/>
      <c r="C131"/>
      <c r="D131" s="138"/>
      <c r="E131" s="138"/>
      <c r="F131" s="138"/>
      <c r="G131" s="138"/>
      <c r="H131" s="138"/>
      <c r="I131" s="138"/>
      <c r="J131" s="138"/>
      <c r="K131" s="138"/>
      <c r="L131" s="525"/>
    </row>
    <row r="132" spans="1:12" ht="15.4" x14ac:dyDescent="0.45">
      <c r="A132" s="526"/>
      <c r="B132" s="116" t="s">
        <v>355</v>
      </c>
      <c r="C132"/>
      <c r="D132" s="138"/>
      <c r="E132" s="138"/>
      <c r="F132" s="138"/>
      <c r="G132" s="138"/>
      <c r="H132" s="138"/>
      <c r="I132" s="138"/>
      <c r="L132" s="525"/>
    </row>
    <row r="133" spans="1:12" ht="15.75" x14ac:dyDescent="0.5">
      <c r="A133" s="526"/>
      <c r="B133" s="272" t="s">
        <v>352</v>
      </c>
      <c r="C133" s="273"/>
      <c r="D133" s="272"/>
      <c r="E133" s="273"/>
      <c r="F133" s="273"/>
      <c r="G133" s="273"/>
      <c r="H133" s="273"/>
      <c r="I133" s="273"/>
      <c r="L133" s="525"/>
    </row>
    <row r="134" spans="1:12" ht="15.75" x14ac:dyDescent="0.5">
      <c r="A134" s="526"/>
      <c r="B134" s="272"/>
      <c r="C134" s="273"/>
      <c r="D134" s="272"/>
      <c r="E134" s="273">
        <v>12</v>
      </c>
      <c r="F134" s="273"/>
      <c r="G134" s="274">
        <f>'YR 2 Rate Comp'!L59</f>
        <v>23.525000000000002</v>
      </c>
      <c r="H134" s="272" t="s">
        <v>241</v>
      </c>
      <c r="I134" s="524">
        <f>ROUND(E134*G134,2)</f>
        <v>282.3</v>
      </c>
      <c r="L134" s="525"/>
    </row>
    <row r="135" spans="1:12" ht="15.75" x14ac:dyDescent="0.5">
      <c r="A135" s="526"/>
      <c r="B135" s="272" t="s">
        <v>348</v>
      </c>
      <c r="C135" s="273"/>
      <c r="D135" s="272"/>
      <c r="E135" s="273">
        <f>SUM(E134:E134)</f>
        <v>12</v>
      </c>
      <c r="F135" s="273"/>
      <c r="G135" s="272"/>
      <c r="H135" s="272"/>
      <c r="I135" s="138">
        <f>SUM(I134:I134)</f>
        <v>282.3</v>
      </c>
      <c r="L135" s="525"/>
    </row>
    <row r="136" spans="1:12" ht="15.4" x14ac:dyDescent="0.45">
      <c r="A136" s="526"/>
      <c r="B136"/>
      <c r="C136"/>
      <c r="D136" s="138"/>
      <c r="E136" s="138"/>
      <c r="F136" s="138"/>
      <c r="G136" s="138"/>
      <c r="H136" s="138"/>
      <c r="I136" s="138"/>
      <c r="L136" s="525"/>
    </row>
    <row r="137" spans="1:12" ht="15.4" x14ac:dyDescent="0.45">
      <c r="A137" s="526"/>
      <c r="B137" s="116" t="s">
        <v>356</v>
      </c>
      <c r="C137"/>
      <c r="D137" s="138"/>
      <c r="E137" s="138"/>
      <c r="F137" s="138"/>
      <c r="G137" s="138"/>
      <c r="H137" s="138"/>
      <c r="I137" s="138"/>
      <c r="L137" s="525"/>
    </row>
    <row r="138" spans="1:12" ht="15.75" x14ac:dyDescent="0.5">
      <c r="A138" s="526"/>
      <c r="B138" s="272" t="s">
        <v>352</v>
      </c>
      <c r="C138" s="273"/>
      <c r="D138" s="272"/>
      <c r="E138" s="273"/>
      <c r="F138" s="273"/>
      <c r="G138" s="273"/>
      <c r="H138" s="273"/>
      <c r="I138" s="273"/>
      <c r="L138" s="525"/>
    </row>
    <row r="139" spans="1:12" ht="15.75" x14ac:dyDescent="0.5">
      <c r="A139" s="526"/>
      <c r="B139" s="272"/>
      <c r="C139" s="273"/>
      <c r="D139" s="272"/>
      <c r="E139" s="273">
        <v>12</v>
      </c>
      <c r="F139" s="273"/>
      <c r="G139" s="274">
        <f>'YR 2 Rate Comp'!L60</f>
        <v>35.155999999999999</v>
      </c>
      <c r="H139" s="272" t="s">
        <v>241</v>
      </c>
      <c r="I139" s="524">
        <f>ROUND(E139*G139,2)</f>
        <v>421.87</v>
      </c>
      <c r="L139" s="525"/>
    </row>
    <row r="140" spans="1:12" ht="15.75" x14ac:dyDescent="0.5">
      <c r="A140" s="526"/>
      <c r="B140" s="272" t="s">
        <v>353</v>
      </c>
      <c r="C140" s="272"/>
      <c r="D140" s="272"/>
      <c r="E140" s="272"/>
      <c r="F140" s="272"/>
      <c r="G140" s="272"/>
      <c r="H140" s="272"/>
      <c r="I140" s="524">
        <f>SUM(I139)</f>
        <v>421.87</v>
      </c>
      <c r="L140" s="525"/>
    </row>
    <row r="141" spans="1:12" x14ac:dyDescent="0.45">
      <c r="A141" s="526"/>
      <c r="L141" s="525"/>
    </row>
    <row r="142" spans="1:12" ht="15.4" x14ac:dyDescent="0.45">
      <c r="A142" s="526"/>
      <c r="B142" t="s">
        <v>351</v>
      </c>
      <c r="C142"/>
      <c r="D142" s="138"/>
      <c r="E142" s="138"/>
      <c r="F142" s="138"/>
      <c r="G142" s="138"/>
      <c r="H142" s="138"/>
      <c r="I142" s="138"/>
      <c r="L142" s="525"/>
    </row>
    <row r="143" spans="1:12" ht="15.75" x14ac:dyDescent="0.5">
      <c r="A143" s="526"/>
      <c r="B143" s="272" t="s">
        <v>352</v>
      </c>
      <c r="C143" s="273"/>
      <c r="D143" s="272"/>
      <c r="E143" s="273"/>
      <c r="F143" s="273"/>
      <c r="G143" s="273"/>
      <c r="H143" s="273"/>
      <c r="I143" s="273"/>
      <c r="L143" s="525"/>
    </row>
    <row r="144" spans="1:12" ht="15.75" x14ac:dyDescent="0.5">
      <c r="A144" s="526"/>
      <c r="B144" s="272"/>
      <c r="C144" s="273"/>
      <c r="D144" s="272"/>
      <c r="E144" s="273">
        <v>12</v>
      </c>
      <c r="F144" s="273"/>
      <c r="G144" s="274">
        <f>'YR 2 Rate Comp'!L61</f>
        <v>91.324000000000012</v>
      </c>
      <c r="H144" s="272" t="s">
        <v>241</v>
      </c>
      <c r="I144" s="524">
        <f>ROUND(E144*G144,2)</f>
        <v>1095.8900000000001</v>
      </c>
      <c r="L144" s="525"/>
    </row>
    <row r="145" spans="1:12" ht="15.75" x14ac:dyDescent="0.5">
      <c r="A145" s="526"/>
      <c r="B145" s="272" t="s">
        <v>353</v>
      </c>
      <c r="C145" s="272"/>
      <c r="D145" s="272"/>
      <c r="E145" s="272"/>
      <c r="F145" s="272"/>
      <c r="G145" s="272"/>
      <c r="H145" s="272"/>
      <c r="I145" s="524">
        <f>SUM(I144)</f>
        <v>1095.8900000000001</v>
      </c>
      <c r="L145" s="525"/>
    </row>
    <row r="146" spans="1:12" x14ac:dyDescent="0.45">
      <c r="A146" s="526"/>
      <c r="L146" s="525"/>
    </row>
    <row r="147" spans="1:12" x14ac:dyDescent="0.45">
      <c r="A147" s="527"/>
      <c r="B147" s="528"/>
      <c r="C147" s="528"/>
      <c r="D147" s="528"/>
      <c r="E147" s="528"/>
      <c r="F147" s="528"/>
      <c r="G147" s="528"/>
      <c r="H147" s="528"/>
      <c r="I147" s="528"/>
      <c r="J147" s="528"/>
      <c r="K147" s="528"/>
      <c r="L147" s="529"/>
    </row>
  </sheetData>
  <mergeCells count="2">
    <mergeCell ref="B1:J1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6E0A-88BE-4076-9979-7D7D8AEF9793}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8D50-2E0E-48C8-8722-E3F38C188547}">
  <dimension ref="B1:Q147"/>
  <sheetViews>
    <sheetView topLeftCell="A8" workbookViewId="0">
      <selection activeCell="H9" sqref="H9:H20"/>
    </sheetView>
  </sheetViews>
  <sheetFormatPr defaultColWidth="8.88671875" defaultRowHeight="14.25" x14ac:dyDescent="0.45"/>
  <cols>
    <col min="1" max="1" width="1.77734375" style="1" customWidth="1"/>
    <col min="2" max="2" width="8.44140625" style="1" customWidth="1"/>
    <col min="3" max="3" width="7.5546875" style="1" customWidth="1"/>
    <col min="4" max="4" width="8" style="1" customWidth="1"/>
    <col min="5" max="10" width="15.77734375" style="1" customWidth="1"/>
    <col min="11" max="11" width="10.77734375" style="1" customWidth="1"/>
    <col min="12" max="12" width="21.6640625" style="1" customWidth="1"/>
    <col min="13" max="13" width="1.77734375" style="139" customWidth="1"/>
    <col min="14" max="14" width="9" style="1" bestFit="1" customWidth="1"/>
    <col min="15" max="15" width="8.88671875" style="1"/>
    <col min="16" max="16" width="13.109375" style="1" customWidth="1"/>
    <col min="17" max="17" width="15" style="1" customWidth="1"/>
    <col min="18" max="16384" width="8.88671875" style="1"/>
  </cols>
  <sheetData>
    <row r="1" spans="2:17" ht="18" x14ac:dyDescent="0.55000000000000004">
      <c r="B1" s="246"/>
      <c r="C1" s="658" t="s">
        <v>220</v>
      </c>
      <c r="D1" s="658"/>
      <c r="E1" s="658"/>
      <c r="F1" s="658"/>
      <c r="G1" s="658"/>
      <c r="H1" s="658"/>
      <c r="I1" s="658"/>
      <c r="J1" s="658"/>
      <c r="K1" s="658"/>
      <c r="L1" s="269"/>
      <c r="M1" s="247"/>
    </row>
    <row r="2" spans="2:17" ht="18" x14ac:dyDescent="0.45">
      <c r="B2" s="92"/>
      <c r="C2" s="659" t="str">
        <f>Adj!B1</f>
        <v>Butler County Water System, Inc.</v>
      </c>
      <c r="D2" s="659"/>
      <c r="E2" s="659"/>
      <c r="F2" s="659"/>
      <c r="G2" s="659"/>
      <c r="H2" s="659"/>
      <c r="I2" s="659"/>
      <c r="J2" s="659"/>
      <c r="K2" s="659"/>
      <c r="L2" s="138"/>
      <c r="M2" s="238"/>
    </row>
    <row r="3" spans="2:17" ht="15.4" x14ac:dyDescent="0.45">
      <c r="B3" s="92"/>
      <c r="C3"/>
      <c r="D3"/>
      <c r="E3" s="138"/>
      <c r="F3" s="138"/>
      <c r="G3" s="138"/>
      <c r="H3" s="138"/>
      <c r="I3" s="138"/>
      <c r="J3" s="138"/>
      <c r="K3" s="138"/>
      <c r="L3" s="138"/>
      <c r="M3" s="238"/>
      <c r="N3" s="9"/>
    </row>
    <row r="4" spans="2:17" ht="17.649999999999999" x14ac:dyDescent="0.75">
      <c r="B4" s="92"/>
      <c r="C4"/>
      <c r="D4"/>
      <c r="E4" s="138"/>
      <c r="F4" s="138"/>
      <c r="G4" s="138"/>
      <c r="H4" s="138"/>
      <c r="I4" s="138"/>
      <c r="J4" s="138"/>
      <c r="K4" s="138"/>
      <c r="L4" s="138"/>
      <c r="M4" s="238"/>
      <c r="N4" s="74"/>
      <c r="O4" s="87"/>
      <c r="P4" s="87"/>
    </row>
    <row r="5" spans="2:17" ht="17.649999999999999" x14ac:dyDescent="0.75">
      <c r="B5" s="92"/>
      <c r="C5"/>
      <c r="D5"/>
      <c r="E5" s="138"/>
      <c r="F5" s="138"/>
      <c r="G5" s="138"/>
      <c r="H5" s="138"/>
      <c r="I5" s="138"/>
      <c r="J5" s="138"/>
      <c r="K5" s="138"/>
      <c r="L5" s="138"/>
      <c r="M5" s="238"/>
      <c r="N5" s="21"/>
      <c r="O5" s="87"/>
      <c r="P5" s="87"/>
    </row>
    <row r="6" spans="2:17" ht="15.4" x14ac:dyDescent="0.45">
      <c r="B6" s="92"/>
      <c r="C6"/>
      <c r="D6"/>
      <c r="E6" s="138"/>
      <c r="F6" s="138"/>
      <c r="G6" s="138"/>
      <c r="H6" s="138"/>
      <c r="I6" s="138"/>
      <c r="J6" s="138"/>
      <c r="K6" s="138"/>
      <c r="L6" s="138"/>
      <c r="M6" s="238"/>
    </row>
    <row r="7" spans="2:17" ht="15.4" x14ac:dyDescent="0.45">
      <c r="B7" s="92"/>
      <c r="C7"/>
      <c r="D7"/>
      <c r="E7" s="138"/>
      <c r="F7" s="138"/>
      <c r="G7" s="138"/>
      <c r="H7" s="138"/>
      <c r="I7" s="138"/>
      <c r="J7" s="138"/>
      <c r="K7" s="138"/>
      <c r="L7" s="138"/>
      <c r="M7" s="238"/>
      <c r="P7" s="139">
        <f>H18</f>
        <v>2545495.3234000765</v>
      </c>
    </row>
    <row r="8" spans="2:17" ht="15.4" x14ac:dyDescent="0.45">
      <c r="B8" s="92"/>
      <c r="C8"/>
      <c r="D8"/>
      <c r="E8" s="138"/>
      <c r="F8" s="138"/>
      <c r="G8" s="138"/>
      <c r="H8" s="138"/>
      <c r="I8" s="138"/>
      <c r="J8" s="138"/>
      <c r="K8" s="138"/>
      <c r="L8" s="138"/>
      <c r="M8" s="238"/>
      <c r="P8" s="139">
        <f>H29</f>
        <v>1569.3600000000001</v>
      </c>
    </row>
    <row r="9" spans="2:17" ht="15.4" x14ac:dyDescent="0.45">
      <c r="B9" s="92"/>
      <c r="C9" t="s">
        <v>333</v>
      </c>
      <c r="D9"/>
      <c r="E9" s="138"/>
      <c r="F9" s="138"/>
      <c r="G9" s="138"/>
      <c r="H9" s="138">
        <f>J50</f>
        <v>2343313.3499999996</v>
      </c>
      <c r="I9" s="138"/>
      <c r="J9" s="138"/>
      <c r="K9" s="138"/>
      <c r="L9" s="138"/>
      <c r="M9" s="238"/>
      <c r="P9" s="139">
        <f>H18+H29</f>
        <v>2547064.6834000763</v>
      </c>
      <c r="Q9" s="139"/>
    </row>
    <row r="10" spans="2:17" ht="15.4" x14ac:dyDescent="0.45">
      <c r="B10" s="92"/>
      <c r="C10" t="s">
        <v>334</v>
      </c>
      <c r="D10"/>
      <c r="E10" s="138"/>
      <c r="F10" s="138"/>
      <c r="G10" s="138"/>
      <c r="H10" s="138">
        <f>J70</f>
        <v>105072.45000000001</v>
      </c>
      <c r="I10" s="138"/>
      <c r="J10" s="138"/>
      <c r="K10" s="138"/>
      <c r="L10" s="138"/>
      <c r="M10" s="238"/>
      <c r="P10" s="1">
        <f>-'SAO - DSC'!L55</f>
        <v>-2929591.3826733292</v>
      </c>
    </row>
    <row r="11" spans="2:17" ht="15.4" x14ac:dyDescent="0.45">
      <c r="B11" s="92"/>
      <c r="C11" t="s">
        <v>335</v>
      </c>
      <c r="D11"/>
      <c r="E11" s="138"/>
      <c r="F11" s="138"/>
      <c r="G11" s="138"/>
      <c r="H11" s="138">
        <f>J85</f>
        <v>52126.16</v>
      </c>
      <c r="I11" s="138"/>
      <c r="J11" s="138"/>
      <c r="K11" s="138"/>
      <c r="L11" s="138"/>
      <c r="M11" s="238"/>
      <c r="P11" s="139">
        <f>SUM(P9:P10)</f>
        <v>-382526.69927325286</v>
      </c>
      <c r="Q11" s="139"/>
    </row>
    <row r="12" spans="2:17" ht="15.4" x14ac:dyDescent="0.45">
      <c r="B12" s="92"/>
      <c r="C12" t="s">
        <v>336</v>
      </c>
      <c r="D12"/>
      <c r="E12" s="138"/>
      <c r="F12" s="138"/>
      <c r="G12" s="138"/>
      <c r="H12" s="138">
        <f>J100</f>
        <v>21511.02</v>
      </c>
      <c r="I12" s="138"/>
      <c r="J12" s="138"/>
      <c r="K12" s="138"/>
      <c r="L12" s="138"/>
      <c r="M12" s="238"/>
      <c r="O12"/>
    </row>
    <row r="13" spans="2:17" ht="15.4" x14ac:dyDescent="0.45">
      <c r="B13" s="92"/>
      <c r="C13" t="s">
        <v>338</v>
      </c>
      <c r="D13"/>
      <c r="E13" s="138"/>
      <c r="F13" s="138"/>
      <c r="G13" s="138"/>
      <c r="H13" s="138">
        <f>J115</f>
        <v>6600.8700000000008</v>
      </c>
      <c r="I13" s="138"/>
      <c r="J13" s="138"/>
      <c r="K13" s="138"/>
      <c r="L13" s="138"/>
      <c r="M13" s="238"/>
    </row>
    <row r="14" spans="2:17" ht="15.4" x14ac:dyDescent="0.45">
      <c r="B14" s="92"/>
      <c r="C14" t="s">
        <v>339</v>
      </c>
      <c r="D14"/>
      <c r="E14" s="138"/>
      <c r="F14" s="138"/>
      <c r="G14" s="138"/>
      <c r="H14" s="138">
        <f>J128</f>
        <v>24754.129999999997</v>
      </c>
      <c r="I14" s="138"/>
      <c r="J14" s="138"/>
      <c r="K14" s="138"/>
      <c r="L14" s="138"/>
      <c r="M14" s="238"/>
    </row>
    <row r="15" spans="2:17" ht="15.4" x14ac:dyDescent="0.45">
      <c r="B15" s="92"/>
      <c r="C15" t="s">
        <v>32</v>
      </c>
      <c r="D15"/>
      <c r="E15" s="138"/>
      <c r="F15" s="138"/>
      <c r="G15" s="138"/>
      <c r="H15" s="213">
        <f>SUM(H9:H14)</f>
        <v>2553377.98</v>
      </c>
      <c r="I15" s="138"/>
      <c r="J15" s="138"/>
      <c r="K15" s="138"/>
      <c r="L15" s="138"/>
      <c r="M15" s="238"/>
    </row>
    <row r="16" spans="2:17" ht="15.4" x14ac:dyDescent="0.45">
      <c r="B16" s="92"/>
      <c r="C16" t="s">
        <v>341</v>
      </c>
      <c r="D16"/>
      <c r="E16" s="138"/>
      <c r="F16" s="138"/>
      <c r="G16" s="138"/>
      <c r="H16" s="138">
        <v>-4062.0665999999997</v>
      </c>
      <c r="I16" s="138"/>
      <c r="J16" s="138"/>
      <c r="K16" s="138"/>
      <c r="L16"/>
      <c r="M16" s="525"/>
    </row>
    <row r="17" spans="2:13" ht="15.4" x14ac:dyDescent="0.45">
      <c r="B17" s="92"/>
      <c r="C17" t="s">
        <v>342</v>
      </c>
      <c r="D17"/>
      <c r="E17" s="138"/>
      <c r="F17" s="138"/>
      <c r="G17" s="138"/>
      <c r="H17" s="213">
        <v>-3820.5899999236572</v>
      </c>
      <c r="I17" s="138"/>
      <c r="J17" s="138"/>
      <c r="K17" s="138"/>
      <c r="L17"/>
      <c r="M17" s="525"/>
    </row>
    <row r="18" spans="2:13" ht="15.4" x14ac:dyDescent="0.45">
      <c r="B18" s="92"/>
      <c r="C18" t="s">
        <v>343</v>
      </c>
      <c r="D18"/>
      <c r="E18" s="138"/>
      <c r="F18" s="138"/>
      <c r="G18" s="138"/>
      <c r="H18" s="138">
        <f>SUM(H15:H17)</f>
        <v>2545495.3234000765</v>
      </c>
      <c r="I18" s="138"/>
      <c r="J18" s="138"/>
      <c r="K18" s="138"/>
      <c r="L18"/>
      <c r="M18" s="525"/>
    </row>
    <row r="19" spans="2:13" ht="15.4" x14ac:dyDescent="0.45">
      <c r="B19" s="92"/>
      <c r="C19" t="s">
        <v>344</v>
      </c>
      <c r="D19"/>
      <c r="E19" s="138"/>
      <c r="F19" s="138"/>
      <c r="G19" s="138"/>
      <c r="H19" s="213">
        <f>'PropBA - DSC'!G19</f>
        <v>-2200475</v>
      </c>
      <c r="I19" s="138"/>
      <c r="J19" s="138"/>
      <c r="K19" s="138"/>
      <c r="L19"/>
      <c r="M19" s="525"/>
    </row>
    <row r="20" spans="2:13" ht="15.75" thickBot="1" x14ac:dyDescent="0.5">
      <c r="B20" s="92"/>
      <c r="C20" t="s">
        <v>237</v>
      </c>
      <c r="D20"/>
      <c r="E20" s="138"/>
      <c r="F20" s="138"/>
      <c r="G20" s="138"/>
      <c r="H20" s="214">
        <f>SUM(H18:H19)</f>
        <v>345020.32340007648</v>
      </c>
      <c r="I20" s="138"/>
      <c r="J20" s="138"/>
      <c r="K20" s="138"/>
      <c r="L20"/>
      <c r="M20" s="525"/>
    </row>
    <row r="21" spans="2:13" ht="15.75" thickTop="1" x14ac:dyDescent="0.45">
      <c r="B21" s="92"/>
      <c r="C21"/>
      <c r="D21"/>
      <c r="E21" s="138"/>
      <c r="F21" s="138"/>
      <c r="G21" s="138"/>
      <c r="H21" s="138"/>
      <c r="I21" s="138"/>
      <c r="J21" s="138"/>
      <c r="K21" s="138"/>
      <c r="L21"/>
      <c r="M21" s="525"/>
    </row>
    <row r="22" spans="2:13" ht="15.4" x14ac:dyDescent="0.45">
      <c r="B22" s="92"/>
      <c r="C22" t="s">
        <v>265</v>
      </c>
      <c r="D22"/>
      <c r="E22" s="138"/>
      <c r="F22" s="138"/>
      <c r="G22" s="138"/>
      <c r="H22" s="138"/>
      <c r="I22" s="138"/>
      <c r="J22" s="138"/>
      <c r="K22" s="138"/>
      <c r="L22"/>
      <c r="M22" s="525"/>
    </row>
    <row r="23" spans="2:13" ht="15.4" x14ac:dyDescent="0.45">
      <c r="B23" s="92"/>
      <c r="C23" s="116" t="s">
        <v>357</v>
      </c>
      <c r="D23"/>
      <c r="E23" s="138"/>
      <c r="F23" s="138"/>
      <c r="G23" s="138"/>
      <c r="H23" s="138">
        <f>J135</f>
        <v>246.12</v>
      </c>
      <c r="I23" s="138"/>
      <c r="J23" s="138"/>
      <c r="K23" s="138"/>
      <c r="L23"/>
      <c r="M23" s="525"/>
    </row>
    <row r="24" spans="2:13" ht="15.4" x14ac:dyDescent="0.45">
      <c r="B24" s="92"/>
      <c r="C24" t="s">
        <v>345</v>
      </c>
      <c r="D24"/>
      <c r="E24" s="138"/>
      <c r="F24" s="138"/>
      <c r="G24" s="138"/>
      <c r="H24" s="138">
        <f>J140</f>
        <v>367.8</v>
      </c>
      <c r="I24" s="138"/>
      <c r="J24" s="138"/>
      <c r="K24" s="138"/>
      <c r="L24"/>
      <c r="M24" s="525"/>
    </row>
    <row r="25" spans="2:13" ht="15.4" x14ac:dyDescent="0.45">
      <c r="B25" s="92"/>
      <c r="C25" t="s">
        <v>346</v>
      </c>
      <c r="D25"/>
      <c r="E25" s="138"/>
      <c r="F25" s="138"/>
      <c r="G25" s="138"/>
      <c r="H25" s="138">
        <f>J145</f>
        <v>955.44</v>
      </c>
      <c r="I25" s="138"/>
      <c r="J25" s="138"/>
      <c r="K25" s="138"/>
      <c r="L25"/>
      <c r="M25" s="525"/>
    </row>
    <row r="26" spans="2:13" ht="15.4" x14ac:dyDescent="0.45">
      <c r="B26" s="92"/>
      <c r="C26" t="s">
        <v>32</v>
      </c>
      <c r="D26"/>
      <c r="E26" s="138"/>
      <c r="F26" s="138"/>
      <c r="G26" s="138"/>
      <c r="H26" s="213">
        <f>SUM(H23:H25)</f>
        <v>1569.3600000000001</v>
      </c>
      <c r="I26" s="138"/>
      <c r="M26" s="238"/>
    </row>
    <row r="27" spans="2:13" ht="15.4" x14ac:dyDescent="0.45">
      <c r="B27" s="92"/>
      <c r="C27" t="s">
        <v>341</v>
      </c>
      <c r="D27"/>
      <c r="E27" s="138"/>
      <c r="F27" s="138"/>
      <c r="G27" s="138"/>
      <c r="H27" s="138">
        <v>0</v>
      </c>
      <c r="I27" s="138"/>
      <c r="J27" s="138"/>
      <c r="K27" s="138"/>
      <c r="L27" s="138"/>
      <c r="M27" s="238"/>
    </row>
    <row r="28" spans="2:13" ht="15.4" x14ac:dyDescent="0.45">
      <c r="B28" s="92"/>
      <c r="C28" t="s">
        <v>342</v>
      </c>
      <c r="D28"/>
      <c r="E28" s="138"/>
      <c r="F28" s="138"/>
      <c r="G28" s="138"/>
      <c r="H28" s="213">
        <v>0</v>
      </c>
      <c r="I28" s="138"/>
      <c r="J28" s="138"/>
      <c r="K28" s="138"/>
      <c r="L28" s="138"/>
      <c r="M28" s="238"/>
    </row>
    <row r="29" spans="2:13" ht="15.4" x14ac:dyDescent="0.45">
      <c r="B29" s="92"/>
      <c r="C29" t="s">
        <v>343</v>
      </c>
      <c r="D29"/>
      <c r="E29" s="138"/>
      <c r="F29" s="138"/>
      <c r="G29" s="138"/>
      <c r="H29" s="138">
        <f>SUM(H26:H28)</f>
        <v>1569.3600000000001</v>
      </c>
      <c r="I29" s="138"/>
      <c r="J29" s="138"/>
      <c r="K29" s="138"/>
      <c r="L29" s="138"/>
      <c r="M29" s="238"/>
    </row>
    <row r="30" spans="2:13" ht="15.4" x14ac:dyDescent="0.45">
      <c r="B30" s="92"/>
      <c r="C30" t="s">
        <v>347</v>
      </c>
      <c r="D30"/>
      <c r="E30" s="138"/>
      <c r="F30" s="138"/>
      <c r="G30" s="138"/>
      <c r="H30" s="213">
        <f>-'BA Existing Rates'!I25</f>
        <v>-6680.8799999999992</v>
      </c>
      <c r="I30" s="138"/>
      <c r="J30" s="138"/>
      <c r="K30" s="138"/>
      <c r="L30" s="138"/>
      <c r="M30" s="238"/>
    </row>
    <row r="31" spans="2:13" ht="15.75" thickBot="1" x14ac:dyDescent="0.5">
      <c r="B31" s="92"/>
      <c r="C31" t="s">
        <v>237</v>
      </c>
      <c r="D31"/>
      <c r="E31" s="138"/>
      <c r="F31" s="138"/>
      <c r="G31" s="138"/>
      <c r="H31" s="214">
        <f>SUM(H29:H30)</f>
        <v>-5111.5199999999986</v>
      </c>
      <c r="I31" s="138"/>
      <c r="J31" s="138"/>
      <c r="K31" s="138"/>
      <c r="L31" s="138"/>
      <c r="M31" s="238"/>
    </row>
    <row r="32" spans="2:13" ht="15.75" thickTop="1" x14ac:dyDescent="0.45">
      <c r="B32" s="92"/>
      <c r="C32"/>
      <c r="D32"/>
      <c r="E32" s="138"/>
      <c r="F32" s="138"/>
      <c r="G32" s="138"/>
      <c r="H32" s="138"/>
      <c r="I32" s="138"/>
      <c r="J32" s="138"/>
      <c r="K32" s="138"/>
      <c r="L32" s="138"/>
      <c r="M32" s="238"/>
    </row>
    <row r="33" spans="2:13" ht="15.4" x14ac:dyDescent="0.45">
      <c r="B33" s="92"/>
      <c r="C33"/>
      <c r="D33"/>
      <c r="E33" s="138"/>
      <c r="F33" s="138"/>
      <c r="G33" s="138"/>
      <c r="H33" s="138"/>
      <c r="I33" s="138"/>
      <c r="J33" s="138"/>
      <c r="K33" s="138"/>
      <c r="L33" s="138"/>
      <c r="M33" s="238"/>
    </row>
    <row r="34" spans="2:13" ht="15.4" x14ac:dyDescent="0.45">
      <c r="B34" s="92"/>
      <c r="C34"/>
      <c r="D34"/>
      <c r="E34" s="138"/>
      <c r="F34" s="138"/>
      <c r="G34" s="138"/>
      <c r="H34" s="138"/>
      <c r="I34" s="138"/>
      <c r="J34" s="138"/>
      <c r="K34" s="138"/>
      <c r="L34" s="138"/>
      <c r="M34" s="238"/>
    </row>
    <row r="35" spans="2:13" ht="15.4" x14ac:dyDescent="0.45">
      <c r="B35" s="92"/>
      <c r="C35" t="s">
        <v>333</v>
      </c>
      <c r="D35"/>
      <c r="E35" s="138"/>
      <c r="F35" s="138"/>
      <c r="G35" s="138"/>
      <c r="H35" s="138"/>
      <c r="I35" s="138"/>
      <c r="J35" s="138"/>
      <c r="K35" s="138"/>
      <c r="L35" s="138"/>
      <c r="M35" s="238"/>
    </row>
    <row r="36" spans="2:13" ht="15.4" x14ac:dyDescent="0.45">
      <c r="B36" s="92"/>
      <c r="C36"/>
      <c r="D36" s="197"/>
      <c r="E36" s="257" t="s">
        <v>187</v>
      </c>
      <c r="F36" s="523" t="s">
        <v>188</v>
      </c>
      <c r="G36" s="198">
        <f>D37</f>
        <v>2000</v>
      </c>
      <c r="H36" s="198">
        <f>D38</f>
        <v>4000</v>
      </c>
      <c r="I36" s="198">
        <f>D39</f>
        <v>44000</v>
      </c>
      <c r="J36" s="198">
        <f>D40</f>
        <v>50000</v>
      </c>
      <c r="K36" s="198">
        <f>D41</f>
        <v>100000</v>
      </c>
      <c r="L36" s="257" t="s">
        <v>32</v>
      </c>
      <c r="M36" s="238"/>
    </row>
    <row r="37" spans="2:13" ht="15.4" x14ac:dyDescent="0.45">
      <c r="B37" s="92"/>
      <c r="C37" t="s">
        <v>51</v>
      </c>
      <c r="D37" s="197">
        <v>2000</v>
      </c>
      <c r="E37" s="197">
        <v>20595</v>
      </c>
      <c r="F37" s="197">
        <v>17876862</v>
      </c>
      <c r="G37" s="197">
        <f>F37</f>
        <v>17876862</v>
      </c>
      <c r="H37" s="197"/>
      <c r="I37" s="197"/>
      <c r="J37" s="197"/>
      <c r="K37" s="197"/>
      <c r="L37" s="197">
        <f>SUM(G37:K37)</f>
        <v>17876862</v>
      </c>
      <c r="M37" s="238"/>
    </row>
    <row r="38" spans="2:13" ht="15.4" x14ac:dyDescent="0.45">
      <c r="B38" s="92"/>
      <c r="C38" t="s">
        <v>52</v>
      </c>
      <c r="D38" s="197">
        <v>4000</v>
      </c>
      <c r="E38" s="197">
        <v>29054</v>
      </c>
      <c r="F38" s="197">
        <v>105196275</v>
      </c>
      <c r="G38" s="197">
        <f>E38*G36</f>
        <v>58108000</v>
      </c>
      <c r="H38" s="197">
        <f>F38-G38</f>
        <v>47088275</v>
      </c>
      <c r="I38" s="197"/>
      <c r="J38" s="197"/>
      <c r="K38" s="197"/>
      <c r="L38" s="197">
        <f t="shared" ref="L38:L41" si="0">SUM(G38:K38)</f>
        <v>105196275</v>
      </c>
      <c r="M38" s="238"/>
    </row>
    <row r="39" spans="2:13" ht="15.4" x14ac:dyDescent="0.45">
      <c r="B39" s="92"/>
      <c r="C39" t="s">
        <v>52</v>
      </c>
      <c r="D39" s="197">
        <v>44000</v>
      </c>
      <c r="E39" s="197">
        <v>9538</v>
      </c>
      <c r="F39" s="197">
        <v>99448423</v>
      </c>
      <c r="G39" s="197">
        <f>E39*G36</f>
        <v>19076000</v>
      </c>
      <c r="H39" s="197">
        <f>E39*H36</f>
        <v>38152000</v>
      </c>
      <c r="I39" s="197">
        <f>F39-G39-H39</f>
        <v>42220423</v>
      </c>
      <c r="J39" s="197"/>
      <c r="K39" s="197"/>
      <c r="L39" s="197">
        <f t="shared" si="0"/>
        <v>99448423</v>
      </c>
      <c r="M39" s="238"/>
    </row>
    <row r="40" spans="2:13" ht="15.4" x14ac:dyDescent="0.45">
      <c r="B40" s="92"/>
      <c r="C40" t="s">
        <v>52</v>
      </c>
      <c r="D40" s="197">
        <v>50000</v>
      </c>
      <c r="E40" s="197">
        <v>88</v>
      </c>
      <c r="F40" s="197">
        <v>6553607</v>
      </c>
      <c r="G40" s="197">
        <f>E40*G36</f>
        <v>176000</v>
      </c>
      <c r="H40" s="197">
        <f>E40*H36</f>
        <v>352000</v>
      </c>
      <c r="I40" s="197">
        <f>E40*I36</f>
        <v>3872000</v>
      </c>
      <c r="J40" s="197">
        <f>F40-G40-H40-I40</f>
        <v>2153607</v>
      </c>
      <c r="K40" s="197"/>
      <c r="L40" s="197">
        <f t="shared" si="0"/>
        <v>6553607</v>
      </c>
      <c r="M40" s="238"/>
    </row>
    <row r="41" spans="2:13" ht="15.4" x14ac:dyDescent="0.45">
      <c r="B41" s="92"/>
      <c r="C41" t="s">
        <v>114</v>
      </c>
      <c r="D41" s="197">
        <v>100000</v>
      </c>
      <c r="E41" s="197">
        <v>64</v>
      </c>
      <c r="F41" s="197">
        <v>8731962</v>
      </c>
      <c r="G41" s="197">
        <f>E41*G36</f>
        <v>128000</v>
      </c>
      <c r="H41" s="197">
        <f>E41*H36</f>
        <v>256000</v>
      </c>
      <c r="I41" s="197">
        <f>I36*E41</f>
        <v>2816000</v>
      </c>
      <c r="J41" s="197">
        <f>J36*E41</f>
        <v>3200000</v>
      </c>
      <c r="K41" s="197">
        <f>F41-G41-H41-I41-J41</f>
        <v>2331962</v>
      </c>
      <c r="L41" s="197">
        <f t="shared" si="0"/>
        <v>8731962</v>
      </c>
      <c r="M41" s="238"/>
    </row>
    <row r="42" spans="2:13" ht="15.4" x14ac:dyDescent="0.45">
      <c r="B42" s="92"/>
      <c r="C42"/>
      <c r="D42" s="197"/>
      <c r="E42" s="197">
        <f>SUM(E37:E41)</f>
        <v>59339</v>
      </c>
      <c r="F42" s="197">
        <f t="shared" ref="F42:K42" si="1">SUM(F37:F41)</f>
        <v>237807129</v>
      </c>
      <c r="G42" s="197">
        <f t="shared" si="1"/>
        <v>95364862</v>
      </c>
      <c r="H42" s="197">
        <f t="shared" si="1"/>
        <v>85848275</v>
      </c>
      <c r="I42" s="197">
        <f t="shared" si="1"/>
        <v>48908423</v>
      </c>
      <c r="J42" s="197">
        <f t="shared" si="1"/>
        <v>5353607</v>
      </c>
      <c r="K42" s="197">
        <f t="shared" si="1"/>
        <v>2331962</v>
      </c>
      <c r="L42" s="197">
        <f>SUM(L37:L41)</f>
        <v>237807129</v>
      </c>
      <c r="M42" s="238"/>
    </row>
    <row r="43" spans="2:13" ht="15.4" x14ac:dyDescent="0.45">
      <c r="B43" s="92"/>
      <c r="C43"/>
      <c r="D43" s="197"/>
      <c r="E43"/>
      <c r="F43" s="138"/>
      <c r="G43"/>
      <c r="H43"/>
      <c r="I43"/>
      <c r="J43"/>
      <c r="K43" s="138"/>
      <c r="L43"/>
      <c r="M43" s="238"/>
    </row>
    <row r="44" spans="2:13" ht="15.4" x14ac:dyDescent="0.45">
      <c r="B44" s="92"/>
      <c r="C44"/>
      <c r="D44" s="197"/>
      <c r="E44"/>
      <c r="F44" s="138"/>
      <c r="G44" s="197"/>
      <c r="H44" s="197"/>
      <c r="I44" s="197"/>
      <c r="J44" s="197"/>
      <c r="K44" s="197"/>
      <c r="L44" s="197"/>
      <c r="M44" s="238"/>
    </row>
    <row r="45" spans="2:13" ht="15.4" x14ac:dyDescent="0.45">
      <c r="B45" s="92"/>
      <c r="C45" t="s">
        <v>51</v>
      </c>
      <c r="D45" s="197">
        <v>2000</v>
      </c>
      <c r="E45" t="s">
        <v>188</v>
      </c>
      <c r="F45" s="197">
        <f>E42</f>
        <v>59339</v>
      </c>
      <c r="G45" s="197">
        <f>G42</f>
        <v>95364862</v>
      </c>
      <c r="H45" s="244">
        <f>'Yr 1 Rate Comp'!L11</f>
        <v>23.83</v>
      </c>
      <c r="I45" t="s">
        <v>241</v>
      </c>
      <c r="J45" s="197">
        <f>ROUND(F45*H45,2)</f>
        <v>1414048.37</v>
      </c>
      <c r="K45" s="197"/>
      <c r="L45" s="197"/>
      <c r="M45" s="238"/>
    </row>
    <row r="46" spans="2:13" ht="15.4" x14ac:dyDescent="0.45">
      <c r="B46" s="92"/>
      <c r="C46" t="s">
        <v>52</v>
      </c>
      <c r="D46" s="197">
        <v>4000</v>
      </c>
      <c r="E46" t="s">
        <v>188</v>
      </c>
      <c r="F46" s="197"/>
      <c r="G46" s="197">
        <f>H42</f>
        <v>85848275</v>
      </c>
      <c r="H46" s="271">
        <f>'Yr 1 Rate Comp'!L12</f>
        <v>6.8900000000000003E-3</v>
      </c>
      <c r="I46" t="s">
        <v>240</v>
      </c>
      <c r="J46" s="197">
        <f>ROUND(G46*H46,2)</f>
        <v>591494.61</v>
      </c>
      <c r="K46" s="197"/>
      <c r="L46" s="197"/>
      <c r="M46" s="238"/>
    </row>
    <row r="47" spans="2:13" ht="15.4" x14ac:dyDescent="0.45">
      <c r="B47" s="92"/>
      <c r="C47" t="s">
        <v>52</v>
      </c>
      <c r="D47" s="197">
        <v>44000</v>
      </c>
      <c r="E47" t="s">
        <v>188</v>
      </c>
      <c r="F47" s="197"/>
      <c r="G47" s="197">
        <f>I42</f>
        <v>48908423</v>
      </c>
      <c r="H47" s="271">
        <f>'Yr 1 Rate Comp'!L13</f>
        <v>6.1200000000000004E-3</v>
      </c>
      <c r="I47" t="s">
        <v>240</v>
      </c>
      <c r="J47" s="197">
        <f t="shared" ref="J47:J49" si="2">ROUND(G47*H47,2)</f>
        <v>299319.55</v>
      </c>
      <c r="K47" s="197"/>
      <c r="L47" s="197"/>
      <c r="M47" s="238"/>
    </row>
    <row r="48" spans="2:13" ht="15.4" x14ac:dyDescent="0.45">
      <c r="B48" s="92"/>
      <c r="C48" t="s">
        <v>52</v>
      </c>
      <c r="D48" s="197">
        <v>50000</v>
      </c>
      <c r="E48" t="s">
        <v>188</v>
      </c>
      <c r="F48" s="197"/>
      <c r="G48" s="197">
        <f>J42</f>
        <v>5353607</v>
      </c>
      <c r="H48" s="271">
        <f>'Yr 1 Rate Comp'!L14</f>
        <v>5.2700000000000004E-3</v>
      </c>
      <c r="I48" t="s">
        <v>240</v>
      </c>
      <c r="J48" s="197">
        <f t="shared" si="2"/>
        <v>28213.51</v>
      </c>
      <c r="K48" s="138"/>
      <c r="L48"/>
      <c r="M48" s="238"/>
    </row>
    <row r="49" spans="2:13" ht="15.4" x14ac:dyDescent="0.45">
      <c r="B49" s="92"/>
      <c r="C49" t="s">
        <v>114</v>
      </c>
      <c r="D49" s="197">
        <f>SUM(D45:D48)</f>
        <v>100000</v>
      </c>
      <c r="E49" t="s">
        <v>188</v>
      </c>
      <c r="F49" s="197"/>
      <c r="G49" s="197">
        <f>K42</f>
        <v>2331962</v>
      </c>
      <c r="H49" s="271">
        <f>'Yr 1 Rate Comp'!L15</f>
        <v>4.3900000000000007E-3</v>
      </c>
      <c r="I49" t="s">
        <v>240</v>
      </c>
      <c r="J49" s="138">
        <f t="shared" si="2"/>
        <v>10237.31</v>
      </c>
      <c r="K49" s="138"/>
      <c r="L49"/>
      <c r="M49" s="238"/>
    </row>
    <row r="50" spans="2:13" ht="15.4" x14ac:dyDescent="0.45">
      <c r="B50" s="92"/>
      <c r="C50" t="s">
        <v>348</v>
      </c>
      <c r="D50" s="197"/>
      <c r="E50"/>
      <c r="F50" s="197">
        <f>SUM(F45:F49)</f>
        <v>59339</v>
      </c>
      <c r="G50" s="197">
        <f>SUM(G45:G49)</f>
        <v>237807129</v>
      </c>
      <c r="H50"/>
      <c r="I50"/>
      <c r="J50" s="138">
        <f>SUM(J45:J49)</f>
        <v>2343313.3499999996</v>
      </c>
      <c r="K50" s="138"/>
      <c r="L50"/>
      <c r="M50" s="238"/>
    </row>
    <row r="51" spans="2:13" ht="15.4" x14ac:dyDescent="0.45">
      <c r="B51" s="92"/>
      <c r="C51" t="s">
        <v>341</v>
      </c>
      <c r="D51" s="197"/>
      <c r="E51"/>
      <c r="F51" s="138"/>
      <c r="G51"/>
      <c r="H51"/>
      <c r="I51"/>
      <c r="J51" s="197">
        <v>-3199.7504399999998</v>
      </c>
      <c r="K51" s="138">
        <v>-862.31615999999997</v>
      </c>
      <c r="L51" s="197">
        <f>SUM(J51:K51)</f>
        <v>-4062.0665999999997</v>
      </c>
      <c r="M51" s="238"/>
    </row>
    <row r="52" spans="2:13" ht="15.4" x14ac:dyDescent="0.45">
      <c r="B52" s="92"/>
      <c r="C52" t="s">
        <v>342</v>
      </c>
      <c r="D52" s="197"/>
      <c r="E52"/>
      <c r="F52" s="138"/>
      <c r="G52"/>
      <c r="H52"/>
      <c r="I52"/>
      <c r="J52" s="197">
        <v>-3820.5899999236572</v>
      </c>
      <c r="K52" s="138"/>
      <c r="L52"/>
      <c r="M52" s="238"/>
    </row>
    <row r="53" spans="2:13" ht="15.4" x14ac:dyDescent="0.45">
      <c r="B53" s="92"/>
      <c r="C53" t="s">
        <v>353</v>
      </c>
      <c r="D53"/>
      <c r="E53"/>
      <c r="F53"/>
      <c r="G53"/>
      <c r="H53"/>
      <c r="I53"/>
      <c r="J53" s="197">
        <f>SUM(J50:J52)</f>
        <v>2336293.0095600761</v>
      </c>
      <c r="K53"/>
      <c r="L53"/>
      <c r="M53" s="238"/>
    </row>
    <row r="54" spans="2:13" ht="15.4" x14ac:dyDescent="0.45">
      <c r="B54" s="92"/>
      <c r="C54" t="s">
        <v>354</v>
      </c>
      <c r="D54"/>
      <c r="E54"/>
      <c r="F54"/>
      <c r="G54"/>
      <c r="H54"/>
      <c r="I54"/>
      <c r="J54" s="197">
        <v>1998006.3832689242</v>
      </c>
      <c r="K54"/>
      <c r="L54"/>
      <c r="M54" s="238"/>
    </row>
    <row r="55" spans="2:13" ht="15.4" x14ac:dyDescent="0.45">
      <c r="B55" s="92"/>
      <c r="C55"/>
      <c r="D55"/>
      <c r="E55"/>
      <c r="F55"/>
      <c r="G55"/>
      <c r="H55"/>
      <c r="I55"/>
      <c r="J55" s="197"/>
      <c r="K55"/>
      <c r="L55"/>
      <c r="M55" s="238"/>
    </row>
    <row r="56" spans="2:13" ht="15.4" x14ac:dyDescent="0.45">
      <c r="B56" s="92"/>
      <c r="C56" t="s">
        <v>349</v>
      </c>
      <c r="D56"/>
      <c r="E56" s="138"/>
      <c r="F56" s="138"/>
      <c r="G56" s="138"/>
      <c r="H56" s="138"/>
      <c r="I56" s="138"/>
      <c r="J56" s="138"/>
      <c r="K56" s="138"/>
      <c r="L56" s="138"/>
      <c r="M56" s="238"/>
    </row>
    <row r="57" spans="2:13" ht="15.4" x14ac:dyDescent="0.45">
      <c r="B57" s="92"/>
      <c r="C57"/>
      <c r="D57" s="197"/>
      <c r="E57" s="257" t="s">
        <v>187</v>
      </c>
      <c r="F57" s="523" t="s">
        <v>188</v>
      </c>
      <c r="G57" s="198">
        <f>D58</f>
        <v>5000</v>
      </c>
      <c r="H57" s="198">
        <f>D59</f>
        <v>1000</v>
      </c>
      <c r="I57" s="198">
        <f>D60</f>
        <v>44000</v>
      </c>
      <c r="J57" s="198">
        <f>D61</f>
        <v>50000</v>
      </c>
      <c r="K57" s="198">
        <f>D62</f>
        <v>100000</v>
      </c>
      <c r="L57" s="257" t="s">
        <v>32</v>
      </c>
      <c r="M57" s="238"/>
    </row>
    <row r="58" spans="2:13" ht="15.4" x14ac:dyDescent="0.45">
      <c r="B58" s="92"/>
      <c r="C58" t="s">
        <v>51</v>
      </c>
      <c r="D58" s="197">
        <v>5000</v>
      </c>
      <c r="E58" s="197">
        <v>341</v>
      </c>
      <c r="F58" s="197">
        <v>790645</v>
      </c>
      <c r="G58" s="197">
        <f>F58</f>
        <v>790645</v>
      </c>
      <c r="H58" s="197"/>
      <c r="I58" s="197"/>
      <c r="J58" s="197"/>
      <c r="K58" s="197"/>
      <c r="L58" s="197">
        <f>SUM(G58:K58)</f>
        <v>790645</v>
      </c>
      <c r="M58" s="238"/>
    </row>
    <row r="59" spans="2:13" ht="15.4" x14ac:dyDescent="0.45">
      <c r="B59" s="92"/>
      <c r="C59" t="s">
        <v>52</v>
      </c>
      <c r="D59" s="197">
        <v>1000</v>
      </c>
      <c r="E59" s="197">
        <v>54</v>
      </c>
      <c r="F59" s="197">
        <v>295341</v>
      </c>
      <c r="G59" s="197">
        <f>E59*G57</f>
        <v>270000</v>
      </c>
      <c r="H59" s="197">
        <f>F59-G59</f>
        <v>25341</v>
      </c>
      <c r="I59" s="197"/>
      <c r="J59" s="197"/>
      <c r="K59" s="197"/>
      <c r="L59" s="197">
        <f t="shared" ref="L59:L62" si="3">SUM(G59:K59)</f>
        <v>295341</v>
      </c>
      <c r="M59" s="238"/>
    </row>
    <row r="60" spans="2:13" ht="15.4" x14ac:dyDescent="0.45">
      <c r="B60" s="92"/>
      <c r="C60" t="s">
        <v>52</v>
      </c>
      <c r="D60" s="197">
        <v>44000</v>
      </c>
      <c r="E60" s="197">
        <v>248</v>
      </c>
      <c r="F60" s="197">
        <v>3636306</v>
      </c>
      <c r="G60" s="197">
        <f>E60*G57</f>
        <v>1240000</v>
      </c>
      <c r="H60" s="197">
        <f>E60*H57</f>
        <v>248000</v>
      </c>
      <c r="I60" s="197">
        <f>F60-G60-H60</f>
        <v>2148306</v>
      </c>
      <c r="J60" s="197"/>
      <c r="K60" s="197"/>
      <c r="L60" s="197">
        <f t="shared" si="3"/>
        <v>3636306</v>
      </c>
      <c r="M60" s="238"/>
    </row>
    <row r="61" spans="2:13" ht="15.4" x14ac:dyDescent="0.45">
      <c r="B61" s="92"/>
      <c r="C61" t="s">
        <v>52</v>
      </c>
      <c r="D61" s="197">
        <v>50000</v>
      </c>
      <c r="E61" s="197">
        <v>54</v>
      </c>
      <c r="F61" s="197">
        <v>3908284</v>
      </c>
      <c r="G61" s="197">
        <f>E61*G57</f>
        <v>270000</v>
      </c>
      <c r="H61" s="197">
        <f>E61*H57</f>
        <v>54000</v>
      </c>
      <c r="I61" s="197">
        <f>E61*I57</f>
        <v>2376000</v>
      </c>
      <c r="J61" s="197">
        <f>F61-G61-H61-I61</f>
        <v>1208284</v>
      </c>
      <c r="K61" s="197"/>
      <c r="L61" s="197">
        <f t="shared" si="3"/>
        <v>3908284</v>
      </c>
      <c r="M61" s="238"/>
    </row>
    <row r="62" spans="2:13" ht="15.4" x14ac:dyDescent="0.45">
      <c r="B62" s="92"/>
      <c r="C62" t="s">
        <v>114</v>
      </c>
      <c r="D62" s="197">
        <f>SUM(D58:D61)</f>
        <v>100000</v>
      </c>
      <c r="E62" s="197">
        <v>44</v>
      </c>
      <c r="F62" s="197">
        <v>7016157</v>
      </c>
      <c r="G62" s="197">
        <f>E62*G57</f>
        <v>220000</v>
      </c>
      <c r="H62" s="197">
        <f>E62*H57</f>
        <v>44000</v>
      </c>
      <c r="I62" s="197">
        <f>I57*E62</f>
        <v>1936000</v>
      </c>
      <c r="J62" s="197">
        <f>J57*E62</f>
        <v>2200000</v>
      </c>
      <c r="K62" s="197">
        <f>F62-G62-H62-I62-J62</f>
        <v>2616157</v>
      </c>
      <c r="L62" s="197">
        <f t="shared" si="3"/>
        <v>7016157</v>
      </c>
      <c r="M62" s="238"/>
    </row>
    <row r="63" spans="2:13" ht="15.4" x14ac:dyDescent="0.45">
      <c r="B63" s="92"/>
      <c r="C63"/>
      <c r="D63" s="197"/>
      <c r="E63" s="197">
        <f>SUM(E58:E62)</f>
        <v>741</v>
      </c>
      <c r="F63" s="197">
        <f t="shared" ref="F63:K63" si="4">SUM(F58:F62)</f>
        <v>15646733</v>
      </c>
      <c r="G63" s="197">
        <f t="shared" si="4"/>
        <v>2790645</v>
      </c>
      <c r="H63" s="197">
        <f t="shared" si="4"/>
        <v>371341</v>
      </c>
      <c r="I63" s="197">
        <f t="shared" si="4"/>
        <v>6460306</v>
      </c>
      <c r="J63" s="197">
        <f t="shared" si="4"/>
        <v>3408284</v>
      </c>
      <c r="K63" s="197">
        <f t="shared" si="4"/>
        <v>2616157</v>
      </c>
      <c r="L63" s="197">
        <f>SUM(L58:L62)</f>
        <v>15646733</v>
      </c>
      <c r="M63" s="238"/>
    </row>
    <row r="64" spans="2:13" ht="15.4" x14ac:dyDescent="0.45">
      <c r="B64" s="92"/>
      <c r="C64"/>
      <c r="D64" s="197"/>
      <c r="E64"/>
      <c r="F64" s="138"/>
      <c r="G64"/>
      <c r="H64"/>
      <c r="I64"/>
      <c r="J64"/>
      <c r="K64" s="138"/>
      <c r="L64"/>
      <c r="M64" s="238"/>
    </row>
    <row r="65" spans="2:13" ht="15.4" x14ac:dyDescent="0.45">
      <c r="B65" s="92"/>
      <c r="C65" t="s">
        <v>51</v>
      </c>
      <c r="D65" s="197">
        <v>2000</v>
      </c>
      <c r="E65" t="s">
        <v>188</v>
      </c>
      <c r="F65" s="197">
        <f>E63</f>
        <v>741</v>
      </c>
      <c r="G65" s="197">
        <f>G63</f>
        <v>2790645</v>
      </c>
      <c r="H65" s="244">
        <f>'Yr 1 Rate Comp'!L18</f>
        <v>45.25</v>
      </c>
      <c r="I65" t="s">
        <v>241</v>
      </c>
      <c r="J65" s="197">
        <f>ROUND(F65*H65,2)</f>
        <v>33530.25</v>
      </c>
      <c r="K65" s="197"/>
      <c r="L65"/>
      <c r="M65" s="238"/>
    </row>
    <row r="66" spans="2:13" ht="15.4" x14ac:dyDescent="0.45">
      <c r="B66" s="92"/>
      <c r="C66" t="s">
        <v>52</v>
      </c>
      <c r="D66" s="197">
        <v>4000</v>
      </c>
      <c r="E66" t="s">
        <v>188</v>
      </c>
      <c r="F66" s="197"/>
      <c r="G66" s="197">
        <f>H63</f>
        <v>371341</v>
      </c>
      <c r="H66" s="271">
        <f>H46</f>
        <v>6.8900000000000003E-3</v>
      </c>
      <c r="I66" t="s">
        <v>240</v>
      </c>
      <c r="J66" s="197">
        <f>ROUND(G66*H66,2)</f>
        <v>2558.54</v>
      </c>
      <c r="K66" s="197"/>
      <c r="L66" s="197"/>
      <c r="M66" s="238"/>
    </row>
    <row r="67" spans="2:13" ht="15.4" x14ac:dyDescent="0.45">
      <c r="B67" s="92"/>
      <c r="C67" t="s">
        <v>52</v>
      </c>
      <c r="D67" s="197">
        <v>44000</v>
      </c>
      <c r="E67" t="s">
        <v>188</v>
      </c>
      <c r="F67" s="197"/>
      <c r="G67" s="197">
        <f>I63</f>
        <v>6460306</v>
      </c>
      <c r="H67" s="271">
        <f t="shared" ref="H67:H69" si="5">H47</f>
        <v>6.1200000000000004E-3</v>
      </c>
      <c r="I67" t="s">
        <v>240</v>
      </c>
      <c r="J67" s="197">
        <f t="shared" ref="J67:J69" si="6">ROUND(G67*H67,2)</f>
        <v>39537.07</v>
      </c>
      <c r="K67" s="197"/>
      <c r="L67" s="197"/>
      <c r="M67" s="238"/>
    </row>
    <row r="68" spans="2:13" ht="15.4" x14ac:dyDescent="0.45">
      <c r="B68" s="92"/>
      <c r="C68" t="s">
        <v>52</v>
      </c>
      <c r="D68" s="197">
        <v>50000</v>
      </c>
      <c r="E68" t="s">
        <v>188</v>
      </c>
      <c r="F68" s="197"/>
      <c r="G68" s="197">
        <f>J63</f>
        <v>3408284</v>
      </c>
      <c r="H68" s="271">
        <f t="shared" si="5"/>
        <v>5.2700000000000004E-3</v>
      </c>
      <c r="I68" t="s">
        <v>240</v>
      </c>
      <c r="J68" s="197">
        <f t="shared" si="6"/>
        <v>17961.66</v>
      </c>
      <c r="K68" s="197"/>
      <c r="L68" s="197"/>
      <c r="M68" s="238"/>
    </row>
    <row r="69" spans="2:13" ht="15.4" x14ac:dyDescent="0.45">
      <c r="B69" s="92"/>
      <c r="C69" t="s">
        <v>114</v>
      </c>
      <c r="D69" s="197">
        <f>SUM(D65:D68)</f>
        <v>100000</v>
      </c>
      <c r="E69" t="s">
        <v>188</v>
      </c>
      <c r="F69" s="197"/>
      <c r="G69" s="197">
        <f>K63</f>
        <v>2616157</v>
      </c>
      <c r="H69" s="271">
        <f t="shared" si="5"/>
        <v>4.3900000000000007E-3</v>
      </c>
      <c r="I69" t="s">
        <v>240</v>
      </c>
      <c r="J69" s="138">
        <f t="shared" si="6"/>
        <v>11484.93</v>
      </c>
      <c r="K69" s="197"/>
      <c r="L69" s="197"/>
      <c r="M69" s="238"/>
    </row>
    <row r="70" spans="2:13" ht="15.4" x14ac:dyDescent="0.45">
      <c r="B70" s="92"/>
      <c r="C70" t="s">
        <v>348</v>
      </c>
      <c r="D70" s="197"/>
      <c r="E70"/>
      <c r="F70" s="197">
        <f>SUM(F65:F69)</f>
        <v>741</v>
      </c>
      <c r="G70" s="197">
        <f>SUM(G65:G69)</f>
        <v>15646733</v>
      </c>
      <c r="H70"/>
      <c r="I70"/>
      <c r="J70" s="138">
        <f>SUM(J65:J69)</f>
        <v>105072.45000000001</v>
      </c>
      <c r="K70" s="197"/>
      <c r="L70" s="197"/>
      <c r="M70" s="238"/>
    </row>
    <row r="71" spans="2:13" ht="15.4" x14ac:dyDescent="0.45">
      <c r="B71" s="92"/>
      <c r="C71"/>
      <c r="D71"/>
      <c r="E71" s="138"/>
      <c r="F71" s="138"/>
      <c r="G71" s="138"/>
      <c r="H71" s="138"/>
      <c r="I71" s="138"/>
      <c r="J71" s="138"/>
      <c r="K71" s="138"/>
      <c r="L71" s="138"/>
      <c r="M71" s="238"/>
    </row>
    <row r="72" spans="2:13" ht="15.4" x14ac:dyDescent="0.45">
      <c r="B72" s="92"/>
      <c r="C72" t="s">
        <v>350</v>
      </c>
      <c r="D72"/>
      <c r="E72" s="138"/>
      <c r="F72" s="138"/>
      <c r="G72" s="138"/>
      <c r="H72" s="138"/>
      <c r="I72" s="138"/>
      <c r="J72" s="138"/>
      <c r="K72" s="138"/>
      <c r="L72" s="138"/>
      <c r="M72" s="238"/>
    </row>
    <row r="73" spans="2:13" ht="15.4" x14ac:dyDescent="0.45">
      <c r="B73" s="92"/>
      <c r="C73"/>
      <c r="D73" s="197"/>
      <c r="E73" s="257" t="s">
        <v>187</v>
      </c>
      <c r="F73" s="523" t="s">
        <v>188</v>
      </c>
      <c r="G73" s="198">
        <f>D74</f>
        <v>10000</v>
      </c>
      <c r="H73" s="198">
        <f>D75</f>
        <v>40000</v>
      </c>
      <c r="I73" s="198">
        <f>D76</f>
        <v>50000</v>
      </c>
      <c r="J73" s="198">
        <f>D77</f>
        <v>100000</v>
      </c>
      <c r="K73" s="257" t="s">
        <v>32</v>
      </c>
      <c r="L73" s="138"/>
      <c r="M73" s="238"/>
    </row>
    <row r="74" spans="2:13" ht="15.4" x14ac:dyDescent="0.45">
      <c r="B74" s="92"/>
      <c r="C74" t="s">
        <v>51</v>
      </c>
      <c r="D74" s="197">
        <v>10000</v>
      </c>
      <c r="E74" s="197">
        <v>3</v>
      </c>
      <c r="F74" s="197">
        <v>22341</v>
      </c>
      <c r="G74" s="197">
        <f>F74</f>
        <v>22341</v>
      </c>
      <c r="H74" s="197"/>
      <c r="I74" s="197"/>
      <c r="J74" s="197"/>
      <c r="K74" s="197">
        <f>SUM(G74:J74)</f>
        <v>22341</v>
      </c>
      <c r="L74" s="138"/>
      <c r="M74" s="238"/>
    </row>
    <row r="75" spans="2:13" ht="15.4" x14ac:dyDescent="0.45">
      <c r="B75" s="92"/>
      <c r="C75" t="s">
        <v>52</v>
      </c>
      <c r="D75" s="197">
        <v>40000</v>
      </c>
      <c r="E75" s="197">
        <v>21</v>
      </c>
      <c r="F75" s="197">
        <v>518243</v>
      </c>
      <c r="G75" s="197">
        <f>E75*G73</f>
        <v>210000</v>
      </c>
      <c r="H75" s="197">
        <f>F75-G75</f>
        <v>308243</v>
      </c>
      <c r="I75" s="197"/>
      <c r="J75" s="197"/>
      <c r="K75" s="197">
        <f>SUM(G75:J75)</f>
        <v>518243</v>
      </c>
      <c r="L75" s="138"/>
      <c r="M75" s="238"/>
    </row>
    <row r="76" spans="2:13" ht="15.4" x14ac:dyDescent="0.45">
      <c r="B76" s="92"/>
      <c r="C76" t="s">
        <v>52</v>
      </c>
      <c r="D76" s="197">
        <v>50000</v>
      </c>
      <c r="E76" s="197">
        <v>3</v>
      </c>
      <c r="F76" s="197">
        <v>255307</v>
      </c>
      <c r="G76" s="197">
        <f>E76*G73</f>
        <v>30000</v>
      </c>
      <c r="H76" s="197">
        <f>E76*H73</f>
        <v>120000</v>
      </c>
      <c r="I76" s="197">
        <f>F76-G76-H76</f>
        <v>105307</v>
      </c>
      <c r="J76" s="197"/>
      <c r="K76" s="197">
        <f>SUM(G76:J76)</f>
        <v>255307</v>
      </c>
      <c r="L76" s="138"/>
      <c r="M76" s="238"/>
    </row>
    <row r="77" spans="2:13" ht="15.4" x14ac:dyDescent="0.45">
      <c r="B77" s="92"/>
      <c r="C77" t="s">
        <v>52</v>
      </c>
      <c r="D77" s="197">
        <f>SUM(D74:D76)</f>
        <v>100000</v>
      </c>
      <c r="E77" s="197">
        <v>23</v>
      </c>
      <c r="F77" s="197">
        <v>9866500</v>
      </c>
      <c r="G77" s="197">
        <f>E77*G73</f>
        <v>230000</v>
      </c>
      <c r="H77" s="197">
        <f>H73*E77</f>
        <v>920000</v>
      </c>
      <c r="I77" s="197">
        <f>I73*E77</f>
        <v>1150000</v>
      </c>
      <c r="J77" s="197">
        <f>F77-G77-H77-I77</f>
        <v>7566500</v>
      </c>
      <c r="K77" s="197">
        <f>SUM(G77:J77)</f>
        <v>9866500</v>
      </c>
      <c r="L77" s="138"/>
      <c r="M77" s="238"/>
    </row>
    <row r="78" spans="2:13" ht="15.4" x14ac:dyDescent="0.45">
      <c r="B78" s="92"/>
      <c r="C78"/>
      <c r="D78" s="197"/>
      <c r="E78" s="197">
        <f t="shared" ref="E78:K78" si="7">SUM(E74:E77)</f>
        <v>50</v>
      </c>
      <c r="F78" s="197">
        <f t="shared" si="7"/>
        <v>10662391</v>
      </c>
      <c r="G78" s="197">
        <f t="shared" si="7"/>
        <v>492341</v>
      </c>
      <c r="H78" s="197">
        <f t="shared" si="7"/>
        <v>1348243</v>
      </c>
      <c r="I78" s="197">
        <f t="shared" si="7"/>
        <v>1255307</v>
      </c>
      <c r="J78" s="197">
        <f t="shared" si="7"/>
        <v>7566500</v>
      </c>
      <c r="K78" s="197">
        <f t="shared" si="7"/>
        <v>10662391</v>
      </c>
      <c r="L78" s="138"/>
      <c r="M78" s="238"/>
    </row>
    <row r="79" spans="2:13" ht="15.4" x14ac:dyDescent="0.45">
      <c r="B79" s="92"/>
      <c r="C79"/>
      <c r="D79" s="197"/>
      <c r="E79"/>
      <c r="F79" s="138"/>
      <c r="G79"/>
      <c r="H79"/>
      <c r="I79"/>
      <c r="J79"/>
      <c r="K79" s="138"/>
      <c r="L79" s="138"/>
      <c r="M79" s="238"/>
    </row>
    <row r="80" spans="2:13" ht="15.4" x14ac:dyDescent="0.45">
      <c r="B80" s="92"/>
      <c r="C80"/>
      <c r="D80"/>
      <c r="E80"/>
      <c r="F80"/>
      <c r="G80"/>
      <c r="H80"/>
      <c r="I80"/>
      <c r="J80"/>
      <c r="K80"/>
      <c r="L80" s="138"/>
      <c r="M80" s="238"/>
    </row>
    <row r="81" spans="2:13" ht="15.4" x14ac:dyDescent="0.45">
      <c r="B81" s="92"/>
      <c r="C81" t="s">
        <v>51</v>
      </c>
      <c r="D81" s="197">
        <v>10000</v>
      </c>
      <c r="E81" t="s">
        <v>188</v>
      </c>
      <c r="F81" s="197">
        <f>E78</f>
        <v>50</v>
      </c>
      <c r="G81" s="197">
        <f>G78</f>
        <v>492341</v>
      </c>
      <c r="H81" s="244">
        <f>'Yr 1 Rate Comp'!L25</f>
        <v>80.849999999999994</v>
      </c>
      <c r="I81" t="s">
        <v>241</v>
      </c>
      <c r="J81" s="197">
        <f>ROUND(F81*H81,2)</f>
        <v>4042.5</v>
      </c>
      <c r="K81" s="197"/>
      <c r="L81" s="138"/>
      <c r="M81" s="238"/>
    </row>
    <row r="82" spans="2:13" ht="15.4" x14ac:dyDescent="0.45">
      <c r="B82" s="92"/>
      <c r="C82" t="s">
        <v>52</v>
      </c>
      <c r="D82" s="197">
        <v>40000</v>
      </c>
      <c r="E82" t="s">
        <v>188</v>
      </c>
      <c r="F82" s="197"/>
      <c r="G82" s="197">
        <f>H78</f>
        <v>1348243</v>
      </c>
      <c r="H82" s="271">
        <f>H67</f>
        <v>6.1200000000000004E-3</v>
      </c>
      <c r="I82" t="s">
        <v>240</v>
      </c>
      <c r="J82" s="197">
        <f t="shared" ref="J82:J84" si="8">ROUND(G82*H82,2)</f>
        <v>8251.25</v>
      </c>
      <c r="K82" s="197"/>
      <c r="L82" s="138"/>
      <c r="M82" s="238"/>
    </row>
    <row r="83" spans="2:13" ht="15.4" x14ac:dyDescent="0.45">
      <c r="B83" s="92"/>
      <c r="C83" t="s">
        <v>52</v>
      </c>
      <c r="D83" s="197">
        <v>50000</v>
      </c>
      <c r="E83" t="s">
        <v>188</v>
      </c>
      <c r="F83" s="197"/>
      <c r="G83" s="197">
        <f>I78</f>
        <v>1255307</v>
      </c>
      <c r="H83" s="271">
        <f t="shared" ref="H83:H84" si="9">H68</f>
        <v>5.2700000000000004E-3</v>
      </c>
      <c r="I83" t="s">
        <v>240</v>
      </c>
      <c r="J83" s="197">
        <f t="shared" si="8"/>
        <v>6615.47</v>
      </c>
      <c r="K83" s="197"/>
      <c r="L83" s="138"/>
      <c r="M83" s="238"/>
    </row>
    <row r="84" spans="2:13" ht="15.4" x14ac:dyDescent="0.45">
      <c r="B84" s="92"/>
      <c r="C84" t="s">
        <v>114</v>
      </c>
      <c r="D84" s="197">
        <f>SUM(D81:D83)</f>
        <v>100000</v>
      </c>
      <c r="E84" t="s">
        <v>188</v>
      </c>
      <c r="F84" s="197"/>
      <c r="G84" s="197">
        <f>J78</f>
        <v>7566500</v>
      </c>
      <c r="H84" s="271">
        <f t="shared" si="9"/>
        <v>4.3900000000000007E-3</v>
      </c>
      <c r="I84" t="s">
        <v>240</v>
      </c>
      <c r="J84" s="197">
        <f t="shared" si="8"/>
        <v>33216.94</v>
      </c>
      <c r="K84" s="197"/>
      <c r="L84" s="138"/>
      <c r="M84" s="238"/>
    </row>
    <row r="85" spans="2:13" ht="15.4" x14ac:dyDescent="0.45">
      <c r="B85" s="92"/>
      <c r="C85" t="s">
        <v>348</v>
      </c>
      <c r="D85" s="197"/>
      <c r="E85"/>
      <c r="F85" s="197">
        <f>SUM(F81:F84)</f>
        <v>50</v>
      </c>
      <c r="G85" s="197">
        <f>SUM(G81:G84)</f>
        <v>10662391</v>
      </c>
      <c r="H85"/>
      <c r="I85"/>
      <c r="J85" s="138">
        <f>SUM(J81:J84)</f>
        <v>52126.16</v>
      </c>
      <c r="K85" s="197"/>
      <c r="L85" s="138"/>
      <c r="M85" s="238"/>
    </row>
    <row r="86" spans="2:13" ht="15.4" x14ac:dyDescent="0.45">
      <c r="B86" s="92"/>
      <c r="C86"/>
      <c r="D86" s="197"/>
      <c r="E86"/>
      <c r="F86" s="197"/>
      <c r="G86" s="197"/>
      <c r="H86"/>
      <c r="I86"/>
      <c r="J86" s="138"/>
      <c r="K86" s="197"/>
      <c r="L86" s="138"/>
      <c r="M86" s="238"/>
    </row>
    <row r="87" spans="2:13" ht="15.4" x14ac:dyDescent="0.45">
      <c r="B87" s="92"/>
      <c r="C87" t="s">
        <v>336</v>
      </c>
      <c r="D87"/>
      <c r="E87" s="138"/>
      <c r="F87" s="138"/>
      <c r="G87" s="138"/>
      <c r="H87" s="138"/>
      <c r="I87" s="138"/>
      <c r="J87" s="138"/>
      <c r="K87" s="138"/>
      <c r="L87" s="138"/>
      <c r="M87" s="238"/>
    </row>
    <row r="88" spans="2:13" ht="15.4" x14ac:dyDescent="0.45">
      <c r="B88" s="92"/>
      <c r="C88"/>
      <c r="D88" s="197"/>
      <c r="E88" s="257" t="s">
        <v>187</v>
      </c>
      <c r="F88" s="523" t="s">
        <v>188</v>
      </c>
      <c r="G88" s="198">
        <f>D89</f>
        <v>16000</v>
      </c>
      <c r="H88" s="198">
        <f>D90</f>
        <v>34000</v>
      </c>
      <c r="I88" s="198">
        <f>D91</f>
        <v>50000</v>
      </c>
      <c r="J88" s="198">
        <f>D92</f>
        <v>100000</v>
      </c>
      <c r="K88" s="257" t="s">
        <v>32</v>
      </c>
      <c r="L88" s="138"/>
      <c r="M88" s="238"/>
    </row>
    <row r="89" spans="2:13" ht="15.4" x14ac:dyDescent="0.45">
      <c r="B89" s="92"/>
      <c r="C89" t="s">
        <v>51</v>
      </c>
      <c r="D89" s="197">
        <v>16000</v>
      </c>
      <c r="E89" s="197">
        <v>18</v>
      </c>
      <c r="F89" s="197">
        <v>93348</v>
      </c>
      <c r="G89" s="197">
        <f>F89</f>
        <v>93348</v>
      </c>
      <c r="H89" s="197"/>
      <c r="I89" s="197"/>
      <c r="J89" s="197"/>
      <c r="K89" s="197">
        <f>SUM(G89:J89)</f>
        <v>93348</v>
      </c>
      <c r="L89" s="138"/>
      <c r="M89" s="238"/>
    </row>
    <row r="90" spans="2:13" ht="15.4" x14ac:dyDescent="0.45">
      <c r="B90" s="92"/>
      <c r="C90" t="s">
        <v>52</v>
      </c>
      <c r="D90" s="197">
        <v>34000</v>
      </c>
      <c r="E90" s="197">
        <v>17</v>
      </c>
      <c r="F90" s="197">
        <v>510798</v>
      </c>
      <c r="G90" s="197">
        <f>E90*G88</f>
        <v>272000</v>
      </c>
      <c r="H90" s="197">
        <f>F90-G90</f>
        <v>238798</v>
      </c>
      <c r="I90" s="197"/>
      <c r="J90" s="197"/>
      <c r="K90" s="197">
        <f>SUM(G90:J90)</f>
        <v>510798</v>
      </c>
      <c r="L90" s="138"/>
      <c r="M90" s="238"/>
    </row>
    <row r="91" spans="2:13" ht="15.4" x14ac:dyDescent="0.45">
      <c r="B91" s="92"/>
      <c r="C91" t="s">
        <v>52</v>
      </c>
      <c r="D91" s="197">
        <v>50000</v>
      </c>
      <c r="E91" s="197">
        <v>33</v>
      </c>
      <c r="F91" s="197">
        <v>2074154</v>
      </c>
      <c r="G91" s="197">
        <f>E91*G88</f>
        <v>528000</v>
      </c>
      <c r="H91" s="197">
        <f>E91*H88</f>
        <v>1122000</v>
      </c>
      <c r="I91" s="197">
        <f>F91-G91-H91</f>
        <v>424154</v>
      </c>
      <c r="J91" s="197"/>
      <c r="K91" s="197">
        <f>SUM(G91:J91)</f>
        <v>2074154</v>
      </c>
      <c r="L91" s="138"/>
      <c r="M91" s="238"/>
    </row>
    <row r="92" spans="2:13" ht="15.4" x14ac:dyDescent="0.45">
      <c r="B92" s="92"/>
      <c r="C92" t="s">
        <v>52</v>
      </c>
      <c r="D92" s="197">
        <f>SUM(D89:D91)</f>
        <v>100000</v>
      </c>
      <c r="E92" s="197">
        <v>4</v>
      </c>
      <c r="F92" s="197">
        <v>517789</v>
      </c>
      <c r="G92" s="197">
        <f>E92*G88</f>
        <v>64000</v>
      </c>
      <c r="H92" s="197">
        <f>H88*E92</f>
        <v>136000</v>
      </c>
      <c r="I92" s="197">
        <f>I88*E92</f>
        <v>200000</v>
      </c>
      <c r="J92" s="197">
        <f>F92-G92-H92-I92</f>
        <v>117789</v>
      </c>
      <c r="K92" s="197">
        <f>SUM(G92:J92)</f>
        <v>517789</v>
      </c>
      <c r="L92" s="138"/>
      <c r="M92" s="238"/>
    </row>
    <row r="93" spans="2:13" ht="15.4" x14ac:dyDescent="0.45">
      <c r="B93" s="92"/>
      <c r="C93"/>
      <c r="D93" s="197"/>
      <c r="E93" s="197">
        <f t="shared" ref="E93:K93" si="10">SUM(E89:E92)</f>
        <v>72</v>
      </c>
      <c r="F93" s="197">
        <f t="shared" si="10"/>
        <v>3196089</v>
      </c>
      <c r="G93" s="197">
        <f t="shared" si="10"/>
        <v>957348</v>
      </c>
      <c r="H93" s="197">
        <f t="shared" si="10"/>
        <v>1496798</v>
      </c>
      <c r="I93" s="197">
        <f t="shared" si="10"/>
        <v>624154</v>
      </c>
      <c r="J93" s="197">
        <f t="shared" si="10"/>
        <v>117789</v>
      </c>
      <c r="K93" s="197">
        <f t="shared" si="10"/>
        <v>3196089</v>
      </c>
      <c r="L93" s="138"/>
      <c r="M93" s="238"/>
    </row>
    <row r="94" spans="2:13" ht="15.4" x14ac:dyDescent="0.45">
      <c r="B94" s="92"/>
      <c r="C94"/>
      <c r="D94" s="197"/>
      <c r="E94"/>
      <c r="F94" s="138"/>
      <c r="G94"/>
      <c r="H94"/>
      <c r="I94"/>
      <c r="J94"/>
      <c r="K94" s="138"/>
      <c r="L94" s="138"/>
      <c r="M94" s="238"/>
    </row>
    <row r="95" spans="2:13" ht="15.4" x14ac:dyDescent="0.45">
      <c r="B95" s="92"/>
      <c r="C95"/>
      <c r="D95"/>
      <c r="E95"/>
      <c r="F95"/>
      <c r="G95"/>
      <c r="H95"/>
      <c r="I95"/>
      <c r="J95"/>
      <c r="K95"/>
      <c r="L95" s="138"/>
      <c r="M95" s="238"/>
    </row>
    <row r="96" spans="2:13" ht="15.4" x14ac:dyDescent="0.45">
      <c r="B96" s="92"/>
      <c r="C96" t="s">
        <v>51</v>
      </c>
      <c r="D96" s="197">
        <v>16000</v>
      </c>
      <c r="E96" t="s">
        <v>188</v>
      </c>
      <c r="F96" s="197">
        <f>E93</f>
        <v>72</v>
      </c>
      <c r="G96" s="197">
        <f>G93</f>
        <v>957348</v>
      </c>
      <c r="H96" s="244">
        <f>'Yr 1 Rate Comp'!L31</f>
        <v>118.66999999999999</v>
      </c>
      <c r="I96" t="s">
        <v>241</v>
      </c>
      <c r="J96" s="197">
        <f>ROUND(F96*H96,2)</f>
        <v>8544.24</v>
      </c>
      <c r="K96" s="197"/>
      <c r="L96" s="138"/>
      <c r="M96" s="238"/>
    </row>
    <row r="97" spans="2:13" ht="15.4" x14ac:dyDescent="0.45">
      <c r="B97" s="92"/>
      <c r="C97" t="s">
        <v>52</v>
      </c>
      <c r="D97" s="197">
        <v>34000</v>
      </c>
      <c r="E97" t="s">
        <v>188</v>
      </c>
      <c r="F97" s="197"/>
      <c r="G97" s="197">
        <f>H93</f>
        <v>1496798</v>
      </c>
      <c r="H97" s="271">
        <f>H82</f>
        <v>6.1200000000000004E-3</v>
      </c>
      <c r="I97" t="s">
        <v>240</v>
      </c>
      <c r="J97" s="197">
        <f t="shared" ref="J97:J99" si="11">ROUND(G97*H97,2)</f>
        <v>9160.4</v>
      </c>
      <c r="K97" s="197"/>
      <c r="L97" s="138"/>
      <c r="M97" s="238"/>
    </row>
    <row r="98" spans="2:13" ht="15.4" x14ac:dyDescent="0.45">
      <c r="B98" s="92"/>
      <c r="C98" t="s">
        <v>52</v>
      </c>
      <c r="D98" s="197">
        <v>50000</v>
      </c>
      <c r="E98" t="s">
        <v>188</v>
      </c>
      <c r="F98" s="197"/>
      <c r="G98" s="197">
        <f>I93</f>
        <v>624154</v>
      </c>
      <c r="H98" s="271">
        <f t="shared" ref="H98:H99" si="12">H83</f>
        <v>5.2700000000000004E-3</v>
      </c>
      <c r="I98" t="s">
        <v>240</v>
      </c>
      <c r="J98" s="197">
        <f t="shared" si="11"/>
        <v>3289.29</v>
      </c>
      <c r="K98" s="197"/>
      <c r="L98" s="138"/>
      <c r="M98" s="238"/>
    </row>
    <row r="99" spans="2:13" ht="15.4" x14ac:dyDescent="0.45">
      <c r="B99" s="92"/>
      <c r="C99" t="s">
        <v>114</v>
      </c>
      <c r="D99" s="197">
        <f>SUM(D96:D98)</f>
        <v>100000</v>
      </c>
      <c r="E99" t="s">
        <v>188</v>
      </c>
      <c r="F99" s="197"/>
      <c r="G99" s="197">
        <f>J93</f>
        <v>117789</v>
      </c>
      <c r="H99" s="271">
        <f t="shared" si="12"/>
        <v>4.3900000000000007E-3</v>
      </c>
      <c r="I99" t="s">
        <v>240</v>
      </c>
      <c r="J99" s="197">
        <f t="shared" si="11"/>
        <v>517.09</v>
      </c>
      <c r="K99" s="197"/>
      <c r="L99" s="138"/>
      <c r="M99" s="238"/>
    </row>
    <row r="100" spans="2:13" ht="15.4" x14ac:dyDescent="0.45">
      <c r="B100" s="92"/>
      <c r="C100" t="s">
        <v>348</v>
      </c>
      <c r="D100" s="197"/>
      <c r="E100"/>
      <c r="F100" s="197">
        <f>SUM(F96:F99)</f>
        <v>72</v>
      </c>
      <c r="G100" s="197">
        <f>SUM(G96:G99)</f>
        <v>3196089</v>
      </c>
      <c r="H100"/>
      <c r="I100"/>
      <c r="J100" s="138">
        <f>SUM(J96:J99)</f>
        <v>21511.02</v>
      </c>
      <c r="K100" s="197"/>
      <c r="L100" s="138"/>
      <c r="M100" s="238"/>
    </row>
    <row r="101" spans="2:13" ht="15.4" x14ac:dyDescent="0.45">
      <c r="B101" s="92"/>
      <c r="C101"/>
      <c r="D101" s="197"/>
      <c r="E101"/>
      <c r="F101" s="197"/>
      <c r="G101" s="197"/>
      <c r="H101"/>
      <c r="I101"/>
      <c r="J101" s="197"/>
      <c r="K101" s="197"/>
      <c r="L101" s="138"/>
      <c r="M101" s="238"/>
    </row>
    <row r="102" spans="2:13" ht="15.4" x14ac:dyDescent="0.45">
      <c r="B102" s="92"/>
      <c r="C102" t="s">
        <v>338</v>
      </c>
      <c r="D102"/>
      <c r="E102" s="138"/>
      <c r="F102" s="138"/>
      <c r="G102" s="138"/>
      <c r="H102" s="138"/>
      <c r="I102" s="138"/>
      <c r="J102" s="138"/>
      <c r="K102" s="138"/>
      <c r="L102" s="138"/>
      <c r="M102" s="238"/>
    </row>
    <row r="103" spans="2:13" ht="15.4" x14ac:dyDescent="0.45">
      <c r="B103" s="92"/>
      <c r="C103"/>
      <c r="D103" s="197"/>
      <c r="E103" s="257" t="s">
        <v>187</v>
      </c>
      <c r="F103" s="523" t="s">
        <v>188</v>
      </c>
      <c r="G103" s="198">
        <v>30000</v>
      </c>
      <c r="H103" s="198">
        <v>20000</v>
      </c>
      <c r="I103" s="198">
        <f>D106</f>
        <v>50000</v>
      </c>
      <c r="J103" s="198">
        <f>D107</f>
        <v>100000</v>
      </c>
      <c r="K103" s="257" t="s">
        <v>32</v>
      </c>
      <c r="L103" s="138"/>
      <c r="M103" s="238"/>
    </row>
    <row r="104" spans="2:13" ht="15.4" x14ac:dyDescent="0.45">
      <c r="B104" s="92"/>
      <c r="C104" t="s">
        <v>51</v>
      </c>
      <c r="D104" s="197">
        <v>20000</v>
      </c>
      <c r="E104" s="197">
        <v>2</v>
      </c>
      <c r="F104" s="197">
        <v>17069</v>
      </c>
      <c r="G104" s="197">
        <f>F104</f>
        <v>17069</v>
      </c>
      <c r="H104" s="197"/>
      <c r="I104" s="197"/>
      <c r="J104" s="197"/>
      <c r="K104" s="197">
        <f>SUM(G104:J104)</f>
        <v>17069</v>
      </c>
      <c r="L104" s="138"/>
      <c r="M104" s="238"/>
    </row>
    <row r="105" spans="2:13" ht="15.4" x14ac:dyDescent="0.45">
      <c r="B105" s="92"/>
      <c r="C105" t="s">
        <v>52</v>
      </c>
      <c r="D105" s="197">
        <v>30000</v>
      </c>
      <c r="E105" s="197">
        <v>2</v>
      </c>
      <c r="F105" s="197">
        <v>75910</v>
      </c>
      <c r="G105" s="197">
        <f>E105*G103</f>
        <v>60000</v>
      </c>
      <c r="H105" s="197">
        <f>F105-G105</f>
        <v>15910</v>
      </c>
      <c r="I105" s="197"/>
      <c r="J105" s="197"/>
      <c r="K105" s="197">
        <f>SUM(G105:J105)</f>
        <v>75910</v>
      </c>
      <c r="L105" s="138"/>
      <c r="M105" s="238"/>
    </row>
    <row r="106" spans="2:13" ht="15.4" x14ac:dyDescent="0.45">
      <c r="B106" s="92"/>
      <c r="C106" t="s">
        <v>52</v>
      </c>
      <c r="D106" s="197">
        <v>50000</v>
      </c>
      <c r="E106" s="197">
        <v>3</v>
      </c>
      <c r="F106" s="197">
        <v>192561</v>
      </c>
      <c r="G106" s="197">
        <f>E106*G103</f>
        <v>90000</v>
      </c>
      <c r="H106" s="197">
        <f>E106*H103</f>
        <v>60000</v>
      </c>
      <c r="I106" s="197">
        <f>F106-G106-H106</f>
        <v>42561</v>
      </c>
      <c r="J106" s="197"/>
      <c r="K106" s="197">
        <f>SUM(G106:J106)</f>
        <v>192561</v>
      </c>
      <c r="L106" s="138"/>
      <c r="M106" s="238"/>
    </row>
    <row r="107" spans="2:13" ht="15.4" x14ac:dyDescent="0.45">
      <c r="B107" s="92"/>
      <c r="C107" t="s">
        <v>52</v>
      </c>
      <c r="D107" s="197">
        <f>SUM(D104:D106)</f>
        <v>100000</v>
      </c>
      <c r="E107" s="197">
        <v>5</v>
      </c>
      <c r="F107" s="197">
        <v>678619</v>
      </c>
      <c r="G107" s="197">
        <f>E107*G103</f>
        <v>150000</v>
      </c>
      <c r="H107" s="197">
        <f>H103*E107</f>
        <v>100000</v>
      </c>
      <c r="I107" s="197">
        <f>I103*E107</f>
        <v>250000</v>
      </c>
      <c r="J107" s="197">
        <f>F107-G107-H107-I107</f>
        <v>178619</v>
      </c>
      <c r="K107" s="197">
        <f>SUM(G107:J107)</f>
        <v>678619</v>
      </c>
      <c r="L107" s="138"/>
      <c r="M107" s="238"/>
    </row>
    <row r="108" spans="2:13" ht="15.4" x14ac:dyDescent="0.45">
      <c r="B108" s="92"/>
      <c r="C108"/>
      <c r="D108" s="197"/>
      <c r="E108" s="197">
        <f t="shared" ref="E108:K108" si="13">SUM(E104:E107)</f>
        <v>12</v>
      </c>
      <c r="F108" s="197">
        <f t="shared" si="13"/>
        <v>964159</v>
      </c>
      <c r="G108" s="197">
        <f t="shared" si="13"/>
        <v>317069</v>
      </c>
      <c r="H108" s="197">
        <f t="shared" si="13"/>
        <v>175910</v>
      </c>
      <c r="I108" s="197">
        <f t="shared" si="13"/>
        <v>292561</v>
      </c>
      <c r="J108" s="197">
        <f t="shared" si="13"/>
        <v>178619</v>
      </c>
      <c r="K108" s="197">
        <f t="shared" si="13"/>
        <v>964159</v>
      </c>
      <c r="L108" s="138"/>
      <c r="M108" s="238"/>
    </row>
    <row r="109" spans="2:13" ht="15.4" x14ac:dyDescent="0.45">
      <c r="B109" s="92"/>
      <c r="C109"/>
      <c r="D109" s="197"/>
      <c r="E109"/>
      <c r="F109" s="138"/>
      <c r="G109"/>
      <c r="H109"/>
      <c r="I109"/>
      <c r="J109"/>
      <c r="K109" s="138"/>
      <c r="L109" s="138"/>
      <c r="M109" s="238"/>
    </row>
    <row r="110" spans="2:13" ht="15.4" x14ac:dyDescent="0.45">
      <c r="B110" s="92"/>
      <c r="C110"/>
      <c r="D110"/>
      <c r="E110"/>
      <c r="F110"/>
      <c r="G110"/>
      <c r="H110"/>
      <c r="I110"/>
      <c r="J110"/>
      <c r="K110"/>
      <c r="L110" s="138"/>
      <c r="M110" s="238"/>
    </row>
    <row r="111" spans="2:13" ht="15.4" x14ac:dyDescent="0.45">
      <c r="B111" s="92"/>
      <c r="C111" t="s">
        <v>51</v>
      </c>
      <c r="D111" s="197">
        <f>G103</f>
        <v>30000</v>
      </c>
      <c r="E111" t="s">
        <v>188</v>
      </c>
      <c r="F111" s="197">
        <f>E108</f>
        <v>12</v>
      </c>
      <c r="G111" s="197">
        <f>G108</f>
        <v>317069</v>
      </c>
      <c r="H111" s="244">
        <f>'Yr 1 Rate Comp'!L43</f>
        <v>266.53000000000003</v>
      </c>
      <c r="I111" t="s">
        <v>241</v>
      </c>
      <c r="J111" s="138">
        <f>ROUND(F111*H111,2)</f>
        <v>3198.36</v>
      </c>
      <c r="K111" s="197"/>
      <c r="L111" s="138"/>
      <c r="M111" s="238"/>
    </row>
    <row r="112" spans="2:13" ht="15.4" x14ac:dyDescent="0.45">
      <c r="B112" s="92"/>
      <c r="C112" t="s">
        <v>52</v>
      </c>
      <c r="D112" s="197">
        <f>H103</f>
        <v>20000</v>
      </c>
      <c r="E112" t="s">
        <v>188</v>
      </c>
      <c r="F112" s="197"/>
      <c r="G112" s="197">
        <f>H108</f>
        <v>175910</v>
      </c>
      <c r="H112" s="271">
        <f>H97</f>
        <v>6.1200000000000004E-3</v>
      </c>
      <c r="I112" t="s">
        <v>240</v>
      </c>
      <c r="J112" s="138">
        <f t="shared" ref="J112:J114" si="14">ROUND(G112*H112,2)</f>
        <v>1076.57</v>
      </c>
      <c r="K112" s="197"/>
      <c r="L112" s="138"/>
      <c r="M112" s="238"/>
    </row>
    <row r="113" spans="2:13" ht="15.4" x14ac:dyDescent="0.45">
      <c r="B113" s="92"/>
      <c r="C113" t="s">
        <v>52</v>
      </c>
      <c r="D113" s="197">
        <f>I103</f>
        <v>50000</v>
      </c>
      <c r="E113" t="s">
        <v>188</v>
      </c>
      <c r="F113" s="197"/>
      <c r="G113" s="197">
        <f>I108</f>
        <v>292561</v>
      </c>
      <c r="H113" s="271">
        <f t="shared" ref="H113:H114" si="15">H98</f>
        <v>5.2700000000000004E-3</v>
      </c>
      <c r="I113" t="s">
        <v>240</v>
      </c>
      <c r="J113" s="138">
        <f t="shared" si="14"/>
        <v>1541.8</v>
      </c>
      <c r="K113" s="197"/>
      <c r="L113" s="138"/>
      <c r="M113" s="238"/>
    </row>
    <row r="114" spans="2:13" ht="15.4" x14ac:dyDescent="0.45">
      <c r="B114" s="92"/>
      <c r="C114" t="s">
        <v>114</v>
      </c>
      <c r="D114" s="197">
        <f>SUM(D111:D113)</f>
        <v>100000</v>
      </c>
      <c r="E114" t="s">
        <v>188</v>
      </c>
      <c r="F114" s="197"/>
      <c r="G114" s="197">
        <f>J108</f>
        <v>178619</v>
      </c>
      <c r="H114" s="271">
        <f t="shared" si="15"/>
        <v>4.3900000000000007E-3</v>
      </c>
      <c r="I114" t="s">
        <v>240</v>
      </c>
      <c r="J114" s="138">
        <f t="shared" si="14"/>
        <v>784.14</v>
      </c>
      <c r="K114" s="197"/>
      <c r="L114" s="138"/>
      <c r="M114" s="238"/>
    </row>
    <row r="115" spans="2:13" ht="15.4" x14ac:dyDescent="0.45">
      <c r="B115" s="92"/>
      <c r="C115" t="s">
        <v>348</v>
      </c>
      <c r="D115" s="197"/>
      <c r="E115"/>
      <c r="F115" s="197">
        <f>SUM(F111:F114)</f>
        <v>12</v>
      </c>
      <c r="G115" s="197">
        <f>SUM(G111:G114)</f>
        <v>964159</v>
      </c>
      <c r="H115"/>
      <c r="I115"/>
      <c r="J115" s="138">
        <f>SUM(J111:J114)</f>
        <v>6600.8700000000008</v>
      </c>
      <c r="K115" s="197"/>
      <c r="L115" s="138"/>
      <c r="M115" s="238"/>
    </row>
    <row r="116" spans="2:13" ht="15.4" x14ac:dyDescent="0.45">
      <c r="B116" s="92"/>
      <c r="C116"/>
      <c r="D116"/>
      <c r="E116" s="138"/>
      <c r="F116" s="138"/>
      <c r="G116" s="138"/>
      <c r="H116" s="138"/>
      <c r="I116" s="138"/>
      <c r="J116" s="138"/>
      <c r="K116" s="138"/>
      <c r="L116" s="138"/>
      <c r="M116" s="238"/>
    </row>
    <row r="117" spans="2:13" ht="15.4" x14ac:dyDescent="0.45">
      <c r="B117" s="92"/>
      <c r="C117" t="s">
        <v>339</v>
      </c>
      <c r="D117"/>
      <c r="E117" s="138"/>
      <c r="F117" s="138"/>
      <c r="G117" s="138"/>
      <c r="H117" s="138"/>
      <c r="I117" s="138"/>
      <c r="J117" s="138"/>
      <c r="K117" s="138"/>
      <c r="L117" s="138"/>
      <c r="M117" s="238"/>
    </row>
    <row r="118" spans="2:13" ht="15.4" x14ac:dyDescent="0.45">
      <c r="B118" s="92"/>
      <c r="C118"/>
      <c r="D118" s="197"/>
      <c r="E118" s="257" t="s">
        <v>187</v>
      </c>
      <c r="F118" s="523" t="s">
        <v>188</v>
      </c>
      <c r="G118" s="198">
        <f>D119</f>
        <v>60000</v>
      </c>
      <c r="H118" s="198">
        <f>D120</f>
        <v>40000</v>
      </c>
      <c r="I118" s="198">
        <f>D121</f>
        <v>100000</v>
      </c>
      <c r="J118" s="198"/>
      <c r="K118" s="138"/>
      <c r="L118" s="138"/>
      <c r="M118" s="238"/>
    </row>
    <row r="119" spans="2:13" ht="15.4" x14ac:dyDescent="0.45">
      <c r="B119" s="92"/>
      <c r="C119" t="s">
        <v>51</v>
      </c>
      <c r="D119" s="197">
        <v>60000</v>
      </c>
      <c r="E119" s="197">
        <v>34</v>
      </c>
      <c r="F119" s="197">
        <v>599082</v>
      </c>
      <c r="G119" s="197">
        <f>F119</f>
        <v>599082</v>
      </c>
      <c r="H119" s="197"/>
      <c r="I119" s="197"/>
      <c r="J119" s="197"/>
      <c r="K119" s="138"/>
      <c r="L119" s="138"/>
      <c r="M119" s="238"/>
    </row>
    <row r="120" spans="2:13" ht="15.4" x14ac:dyDescent="0.45">
      <c r="B120" s="92"/>
      <c r="C120" t="s">
        <v>52</v>
      </c>
      <c r="D120" s="197">
        <v>40000</v>
      </c>
      <c r="E120" s="197">
        <v>9</v>
      </c>
      <c r="F120" s="197">
        <v>697358</v>
      </c>
      <c r="G120" s="197">
        <f>E120*G118</f>
        <v>540000</v>
      </c>
      <c r="H120" s="197">
        <f>F120-G120</f>
        <v>157358</v>
      </c>
      <c r="I120" s="197"/>
      <c r="J120" s="197"/>
      <c r="K120" s="138"/>
      <c r="L120" s="138"/>
      <c r="M120" s="238"/>
    </row>
    <row r="121" spans="2:13" ht="15.4" x14ac:dyDescent="0.45">
      <c r="B121" s="92"/>
      <c r="C121" t="s">
        <v>52</v>
      </c>
      <c r="D121" s="197">
        <f>SUM(D119:D120)</f>
        <v>100000</v>
      </c>
      <c r="E121" s="197">
        <v>5</v>
      </c>
      <c r="F121" s="197">
        <v>619573</v>
      </c>
      <c r="G121" s="197">
        <f>E121*G118</f>
        <v>300000</v>
      </c>
      <c r="H121" s="197">
        <f>H118*E121</f>
        <v>200000</v>
      </c>
      <c r="I121" s="197">
        <f>F121-G121-H121</f>
        <v>119573</v>
      </c>
      <c r="J121" s="197"/>
      <c r="K121" s="138"/>
      <c r="L121" s="138"/>
      <c r="M121" s="238"/>
    </row>
    <row r="122" spans="2:13" ht="15.4" x14ac:dyDescent="0.45">
      <c r="B122" s="92"/>
      <c r="C122"/>
      <c r="D122" s="197"/>
      <c r="E122" s="197">
        <f t="shared" ref="E122:I122" si="16">SUM(E119:E121)</f>
        <v>48</v>
      </c>
      <c r="F122" s="197">
        <f t="shared" si="16"/>
        <v>1916013</v>
      </c>
      <c r="G122" s="197">
        <f t="shared" si="16"/>
        <v>1439082</v>
      </c>
      <c r="H122" s="197">
        <f t="shared" si="16"/>
        <v>357358</v>
      </c>
      <c r="I122" s="197">
        <f t="shared" si="16"/>
        <v>119573</v>
      </c>
      <c r="J122" s="197"/>
      <c r="K122" s="138"/>
      <c r="L122" s="138"/>
      <c r="M122" s="238"/>
    </row>
    <row r="123" spans="2:13" ht="15.4" x14ac:dyDescent="0.45">
      <c r="B123" s="92"/>
      <c r="C123"/>
      <c r="D123" s="197"/>
      <c r="E123"/>
      <c r="F123" s="138"/>
      <c r="G123"/>
      <c r="H123"/>
      <c r="I123"/>
      <c r="J123" s="197"/>
      <c r="K123" s="138"/>
      <c r="L123" s="138"/>
      <c r="M123" s="238"/>
    </row>
    <row r="124" spans="2:13" ht="15.4" x14ac:dyDescent="0.45">
      <c r="B124" s="92"/>
      <c r="C124"/>
      <c r="D124"/>
      <c r="E124"/>
      <c r="F124"/>
      <c r="G124"/>
      <c r="H124"/>
      <c r="I124"/>
      <c r="J124"/>
      <c r="K124" s="138"/>
      <c r="L124" s="138"/>
      <c r="M124" s="238"/>
    </row>
    <row r="125" spans="2:13" ht="15.4" x14ac:dyDescent="0.45">
      <c r="B125" s="92"/>
      <c r="C125" t="s">
        <v>51</v>
      </c>
      <c r="D125" s="197">
        <v>60000</v>
      </c>
      <c r="E125" t="s">
        <v>188</v>
      </c>
      <c r="F125" s="197">
        <f>E122</f>
        <v>48</v>
      </c>
      <c r="G125" s="197">
        <f>G122</f>
        <v>1439082</v>
      </c>
      <c r="H125" s="244">
        <f>'Yr 1 Rate Comp'!L49</f>
        <v>465.54</v>
      </c>
      <c r="I125" t="s">
        <v>241</v>
      </c>
      <c r="J125" s="138">
        <f>ROUND(F125*H125,2)</f>
        <v>22345.919999999998</v>
      </c>
      <c r="K125" s="138"/>
      <c r="L125" s="138"/>
      <c r="M125" s="238"/>
    </row>
    <row r="126" spans="2:13" ht="15.4" x14ac:dyDescent="0.45">
      <c r="B126" s="92"/>
      <c r="C126" t="s">
        <v>52</v>
      </c>
      <c r="D126" s="197">
        <v>40000</v>
      </c>
      <c r="E126" t="s">
        <v>188</v>
      </c>
      <c r="F126" s="197"/>
      <c r="G126" s="197">
        <f>H122</f>
        <v>357358</v>
      </c>
      <c r="H126" s="271">
        <f>H113</f>
        <v>5.2700000000000004E-3</v>
      </c>
      <c r="I126" t="s">
        <v>240</v>
      </c>
      <c r="J126" s="138">
        <f>ROUND(G126*H126,2)</f>
        <v>1883.28</v>
      </c>
      <c r="K126" s="138"/>
      <c r="L126" s="138"/>
      <c r="M126" s="238"/>
    </row>
    <row r="127" spans="2:13" ht="15.4" x14ac:dyDescent="0.45">
      <c r="B127" s="92"/>
      <c r="C127" t="s">
        <v>114</v>
      </c>
      <c r="D127" s="197">
        <f>SUM(D125:D126)</f>
        <v>100000</v>
      </c>
      <c r="E127" t="s">
        <v>188</v>
      </c>
      <c r="F127" s="197"/>
      <c r="G127" s="197">
        <f>I122</f>
        <v>119573</v>
      </c>
      <c r="H127" s="271">
        <f>H114</f>
        <v>4.3900000000000007E-3</v>
      </c>
      <c r="I127" t="s">
        <v>240</v>
      </c>
      <c r="J127" s="138">
        <f>ROUND(G127*H127,2)</f>
        <v>524.92999999999995</v>
      </c>
      <c r="K127" s="138"/>
      <c r="L127" s="138"/>
      <c r="M127" s="238"/>
    </row>
    <row r="128" spans="2:13" ht="15.4" x14ac:dyDescent="0.45">
      <c r="B128" s="92"/>
      <c r="C128" t="s">
        <v>348</v>
      </c>
      <c r="D128" s="197"/>
      <c r="E128"/>
      <c r="F128" s="197">
        <f>SUM(F125:F127)</f>
        <v>48</v>
      </c>
      <c r="G128" s="197">
        <f>SUM(G125:G127)</f>
        <v>1916013</v>
      </c>
      <c r="H128"/>
      <c r="J128" s="138">
        <f>SUM(J125:J127)</f>
        <v>24754.129999999997</v>
      </c>
      <c r="K128" s="138"/>
      <c r="L128" s="138"/>
      <c r="M128" s="238"/>
    </row>
    <row r="129" spans="2:13" ht="15.4" x14ac:dyDescent="0.45">
      <c r="B129" s="92"/>
      <c r="C129"/>
      <c r="D129" s="197"/>
      <c r="E129"/>
      <c r="F129" s="197"/>
      <c r="G129" s="197"/>
      <c r="H129" s="271"/>
      <c r="I129"/>
      <c r="J129" s="138"/>
      <c r="K129" s="138"/>
      <c r="L129" s="138"/>
      <c r="M129" s="238"/>
    </row>
    <row r="130" spans="2:13" ht="15.4" x14ac:dyDescent="0.45">
      <c r="B130" s="92"/>
      <c r="C130"/>
      <c r="D130" s="197"/>
      <c r="E130"/>
      <c r="F130" s="197"/>
      <c r="G130" s="197"/>
      <c r="H130"/>
      <c r="I130"/>
      <c r="J130" s="138"/>
      <c r="K130" s="138"/>
      <c r="L130" s="138"/>
      <c r="M130" s="238"/>
    </row>
    <row r="131" spans="2:13" ht="15.4" x14ac:dyDescent="0.45">
      <c r="B131" s="92"/>
      <c r="C131"/>
      <c r="D131"/>
      <c r="E131" s="138"/>
      <c r="F131" s="138"/>
      <c r="G131" s="138"/>
      <c r="H131" s="138"/>
      <c r="I131" s="138"/>
      <c r="J131" s="138"/>
      <c r="K131" s="138"/>
      <c r="L131" s="138"/>
      <c r="M131" s="525"/>
    </row>
    <row r="132" spans="2:13" ht="15.4" x14ac:dyDescent="0.45">
      <c r="B132" s="526"/>
      <c r="C132" s="116" t="s">
        <v>355</v>
      </c>
      <c r="D132"/>
      <c r="E132" s="138"/>
      <c r="F132" s="138"/>
      <c r="G132" s="138"/>
      <c r="H132" s="138"/>
      <c r="I132" s="138"/>
      <c r="J132" s="138"/>
      <c r="M132" s="525"/>
    </row>
    <row r="133" spans="2:13" ht="15.75" x14ac:dyDescent="0.5">
      <c r="B133" s="526"/>
      <c r="C133" s="272" t="s">
        <v>352</v>
      </c>
      <c r="D133" s="273"/>
      <c r="E133" s="272"/>
      <c r="F133" s="273"/>
      <c r="G133" s="273"/>
      <c r="H133" s="273"/>
      <c r="I133" s="273"/>
      <c r="J133" s="273"/>
      <c r="M133" s="525"/>
    </row>
    <row r="134" spans="2:13" ht="15.75" x14ac:dyDescent="0.5">
      <c r="B134" s="526"/>
      <c r="C134" s="272"/>
      <c r="D134" s="273"/>
      <c r="E134" s="272"/>
      <c r="F134" s="273">
        <v>12</v>
      </c>
      <c r="G134" s="273"/>
      <c r="H134" s="274">
        <f>'Yr 1 Rate Comp'!L59</f>
        <v>20.51</v>
      </c>
      <c r="I134" s="272" t="s">
        <v>241</v>
      </c>
      <c r="J134" s="524">
        <f>ROUND(F134*H134,2)</f>
        <v>246.12</v>
      </c>
      <c r="M134" s="525"/>
    </row>
    <row r="135" spans="2:13" ht="15.75" x14ac:dyDescent="0.5">
      <c r="B135" s="526"/>
      <c r="C135" s="272" t="s">
        <v>348</v>
      </c>
      <c r="D135" s="273"/>
      <c r="E135" s="272"/>
      <c r="F135" s="273">
        <f>SUM(F134:F134)</f>
        <v>12</v>
      </c>
      <c r="G135" s="273"/>
      <c r="H135" s="272"/>
      <c r="I135" s="272"/>
      <c r="J135" s="138">
        <f>SUM(J134:J134)</f>
        <v>246.12</v>
      </c>
      <c r="M135" s="525"/>
    </row>
    <row r="136" spans="2:13" ht="15.4" x14ac:dyDescent="0.45">
      <c r="B136" s="526"/>
      <c r="C136"/>
      <c r="D136"/>
      <c r="E136" s="138"/>
      <c r="F136" s="138"/>
      <c r="G136" s="138"/>
      <c r="H136" s="138"/>
      <c r="I136" s="138"/>
      <c r="J136" s="138"/>
      <c r="M136" s="525"/>
    </row>
    <row r="137" spans="2:13" ht="15.4" x14ac:dyDescent="0.45">
      <c r="B137" s="526"/>
      <c r="C137" s="116" t="s">
        <v>356</v>
      </c>
      <c r="D137"/>
      <c r="E137" s="138"/>
      <c r="F137" s="138"/>
      <c r="G137" s="138"/>
      <c r="H137" s="138"/>
      <c r="I137" s="138"/>
      <c r="J137" s="138"/>
      <c r="M137" s="525"/>
    </row>
    <row r="138" spans="2:13" ht="15.75" x14ac:dyDescent="0.5">
      <c r="B138" s="526"/>
      <c r="C138" s="272" t="s">
        <v>352</v>
      </c>
      <c r="D138" s="273"/>
      <c r="E138" s="272"/>
      <c r="F138" s="273"/>
      <c r="G138" s="273"/>
      <c r="H138" s="273"/>
      <c r="I138" s="273"/>
      <c r="J138" s="273"/>
      <c r="M138" s="525"/>
    </row>
    <row r="139" spans="2:13" ht="15.75" x14ac:dyDescent="0.5">
      <c r="B139" s="526"/>
      <c r="C139" s="272"/>
      <c r="D139" s="273"/>
      <c r="E139" s="272"/>
      <c r="F139" s="273">
        <v>12</v>
      </c>
      <c r="G139" s="273"/>
      <c r="H139" s="274">
        <f>'Yr 1 Rate Comp'!L60</f>
        <v>30.65</v>
      </c>
      <c r="I139" s="272" t="s">
        <v>241</v>
      </c>
      <c r="J139" s="524">
        <f>ROUND(F139*H139,2)</f>
        <v>367.8</v>
      </c>
      <c r="M139" s="525"/>
    </row>
    <row r="140" spans="2:13" ht="15.75" x14ac:dyDescent="0.5">
      <c r="B140" s="526"/>
      <c r="C140" s="272" t="s">
        <v>353</v>
      </c>
      <c r="D140" s="272"/>
      <c r="E140" s="272"/>
      <c r="F140" s="272"/>
      <c r="G140" s="272"/>
      <c r="H140" s="272"/>
      <c r="I140" s="272"/>
      <c r="J140" s="524">
        <f>SUM(J139)</f>
        <v>367.8</v>
      </c>
      <c r="M140" s="525"/>
    </row>
    <row r="141" spans="2:13" x14ac:dyDescent="0.45">
      <c r="B141" s="526"/>
      <c r="M141" s="525"/>
    </row>
    <row r="142" spans="2:13" ht="15.4" x14ac:dyDescent="0.45">
      <c r="B142" s="526"/>
      <c r="C142" t="s">
        <v>351</v>
      </c>
      <c r="D142"/>
      <c r="E142" s="138"/>
      <c r="F142" s="138"/>
      <c r="G142" s="138"/>
      <c r="H142" s="138"/>
      <c r="I142" s="138"/>
      <c r="J142" s="138"/>
      <c r="M142" s="525"/>
    </row>
    <row r="143" spans="2:13" ht="15.75" x14ac:dyDescent="0.5">
      <c r="B143" s="526"/>
      <c r="C143" s="272" t="s">
        <v>352</v>
      </c>
      <c r="D143" s="273"/>
      <c r="E143" s="272"/>
      <c r="F143" s="273"/>
      <c r="G143" s="273"/>
      <c r="H143" s="273"/>
      <c r="I143" s="273"/>
      <c r="J143" s="273"/>
      <c r="M143" s="525"/>
    </row>
    <row r="144" spans="2:13" ht="15.75" x14ac:dyDescent="0.5">
      <c r="B144" s="526"/>
      <c r="C144" s="272"/>
      <c r="D144" s="273"/>
      <c r="E144" s="272"/>
      <c r="F144" s="273">
        <v>12</v>
      </c>
      <c r="G144" s="273"/>
      <c r="H144" s="274">
        <f>'Yr 1 Rate Comp'!L61</f>
        <v>79.62</v>
      </c>
      <c r="I144" s="272" t="s">
        <v>241</v>
      </c>
      <c r="J144" s="524">
        <f>ROUND(F144*H144,2)</f>
        <v>955.44</v>
      </c>
      <c r="M144" s="525"/>
    </row>
    <row r="145" spans="2:13" ht="15.75" x14ac:dyDescent="0.5">
      <c r="B145" s="526"/>
      <c r="C145" s="272" t="s">
        <v>353</v>
      </c>
      <c r="D145" s="272"/>
      <c r="E145" s="272"/>
      <c r="F145" s="272"/>
      <c r="G145" s="272"/>
      <c r="H145" s="272"/>
      <c r="I145" s="272"/>
      <c r="J145" s="524">
        <f>SUM(J144)</f>
        <v>955.44</v>
      </c>
      <c r="M145" s="525"/>
    </row>
    <row r="146" spans="2:13" x14ac:dyDescent="0.45">
      <c r="B146" s="526"/>
      <c r="M146" s="525"/>
    </row>
    <row r="147" spans="2:13" x14ac:dyDescent="0.45">
      <c r="B147" s="527"/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9"/>
    </row>
  </sheetData>
  <mergeCells count="2">
    <mergeCell ref="C1:K1"/>
    <mergeCell ref="C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80A-58A8-40B9-9C3C-939234618911}">
  <dimension ref="C1:I65"/>
  <sheetViews>
    <sheetView showGridLines="0" topLeftCell="A42" workbookViewId="0">
      <selection activeCell="G51" sqref="G51:G53"/>
    </sheetView>
  </sheetViews>
  <sheetFormatPr defaultColWidth="14.77734375" defaultRowHeight="15" x14ac:dyDescent="0.4"/>
  <cols>
    <col min="1" max="2" width="14.77734375" style="116"/>
    <col min="3" max="3" width="1.77734375" style="116" customWidth="1"/>
    <col min="4" max="4" width="9.33203125" style="116" customWidth="1"/>
    <col min="5" max="5" width="11.21875" style="116" customWidth="1"/>
    <col min="6" max="6" width="14.77734375" style="116"/>
    <col min="7" max="7" width="12.21875" style="116" customWidth="1"/>
    <col min="8" max="8" width="10.5546875" style="116" customWidth="1"/>
    <col min="9" max="9" width="1.77734375" style="116" customWidth="1"/>
    <col min="10" max="16384" width="14.77734375" style="116"/>
  </cols>
  <sheetData>
    <row r="1" spans="3:9" x14ac:dyDescent="0.4">
      <c r="C1" s="152"/>
      <c r="D1" s="309"/>
      <c r="E1" s="309"/>
      <c r="F1" s="309"/>
      <c r="G1" s="400"/>
      <c r="H1" s="309"/>
      <c r="I1" s="401"/>
    </row>
    <row r="2" spans="3:9" x14ac:dyDescent="0.4">
      <c r="C2" s="153"/>
      <c r="G2" s="399"/>
      <c r="I2" s="402"/>
    </row>
    <row r="3" spans="3:9" x14ac:dyDescent="0.4">
      <c r="C3" s="153"/>
      <c r="D3" s="660" t="s">
        <v>670</v>
      </c>
      <c r="E3" s="660"/>
      <c r="F3" s="660"/>
      <c r="G3" s="660"/>
      <c r="H3" s="660"/>
      <c r="I3" s="402"/>
    </row>
    <row r="4" spans="3:9" x14ac:dyDescent="0.4">
      <c r="C4" s="153"/>
      <c r="D4" s="605" t="str">
        <f>'BA Existing Rates'!B2</f>
        <v>Current Billing Analysis - 2022 Water Usage and Existing Rates</v>
      </c>
      <c r="E4" s="605"/>
      <c r="F4" s="605"/>
      <c r="G4" s="605"/>
      <c r="H4" s="605"/>
      <c r="I4" s="402"/>
    </row>
    <row r="5" spans="3:9" x14ac:dyDescent="0.4">
      <c r="C5" s="153"/>
      <c r="G5" s="399"/>
      <c r="I5" s="402"/>
    </row>
    <row r="6" spans="3:9" x14ac:dyDescent="0.4">
      <c r="C6" s="154"/>
      <c r="D6" s="310"/>
      <c r="E6" s="310"/>
      <c r="F6" s="310"/>
      <c r="G6" s="543"/>
      <c r="H6" s="310"/>
      <c r="I6" s="408"/>
    </row>
    <row r="7" spans="3:9" x14ac:dyDescent="0.4">
      <c r="C7" s="153"/>
      <c r="D7" s="116" t="s">
        <v>333</v>
      </c>
      <c r="E7" s="142"/>
      <c r="G7" s="403"/>
      <c r="I7" s="402"/>
    </row>
    <row r="8" spans="3:9" x14ac:dyDescent="0.4">
      <c r="C8" s="153"/>
      <c r="D8" s="116" t="s">
        <v>51</v>
      </c>
      <c r="E8" s="142">
        <v>2000</v>
      </c>
      <c r="F8" s="116" t="s">
        <v>188</v>
      </c>
      <c r="G8" s="404">
        <v>20.38</v>
      </c>
      <c r="H8" s="116" t="s">
        <v>241</v>
      </c>
      <c r="I8" s="402"/>
    </row>
    <row r="9" spans="3:9" x14ac:dyDescent="0.4">
      <c r="C9" s="153"/>
      <c r="D9" s="116" t="s">
        <v>52</v>
      </c>
      <c r="E9" s="142">
        <v>4000</v>
      </c>
      <c r="F9" s="116" t="s">
        <v>188</v>
      </c>
      <c r="G9" s="405">
        <v>5.8999999999999999E-3</v>
      </c>
      <c r="H9" s="116" t="s">
        <v>240</v>
      </c>
      <c r="I9" s="402"/>
    </row>
    <row r="10" spans="3:9" x14ac:dyDescent="0.4">
      <c r="C10" s="153"/>
      <c r="D10" s="116" t="s">
        <v>52</v>
      </c>
      <c r="E10" s="142">
        <v>44000</v>
      </c>
      <c r="F10" s="116" t="s">
        <v>188</v>
      </c>
      <c r="G10" s="405">
        <v>5.2399999999999999E-3</v>
      </c>
      <c r="H10" s="116" t="s">
        <v>240</v>
      </c>
      <c r="I10" s="402"/>
    </row>
    <row r="11" spans="3:9" x14ac:dyDescent="0.4">
      <c r="C11" s="153"/>
      <c r="D11" s="116" t="s">
        <v>52</v>
      </c>
      <c r="E11" s="142">
        <v>50000</v>
      </c>
      <c r="F11" s="116" t="s">
        <v>188</v>
      </c>
      <c r="G11" s="405">
        <v>4.5100000000000001E-3</v>
      </c>
      <c r="H11" s="116" t="s">
        <v>240</v>
      </c>
      <c r="I11" s="402"/>
    </row>
    <row r="12" spans="3:9" x14ac:dyDescent="0.4">
      <c r="C12" s="153"/>
      <c r="D12" s="116" t="s">
        <v>114</v>
      </c>
      <c r="E12" s="142">
        <f>SUM(E8:E11)</f>
        <v>100000</v>
      </c>
      <c r="F12" s="116" t="s">
        <v>188</v>
      </c>
      <c r="G12" s="405">
        <v>3.7599999999999999E-3</v>
      </c>
      <c r="H12" s="116" t="s">
        <v>240</v>
      </c>
      <c r="I12" s="402"/>
    </row>
    <row r="13" spans="3:9" x14ac:dyDescent="0.4">
      <c r="C13" s="153"/>
      <c r="E13" s="142"/>
      <c r="G13" s="405"/>
      <c r="I13" s="402"/>
    </row>
    <row r="14" spans="3:9" x14ac:dyDescent="0.4">
      <c r="C14" s="153"/>
      <c r="D14" s="116" t="s">
        <v>334</v>
      </c>
      <c r="E14" s="142"/>
      <c r="I14" s="402"/>
    </row>
    <row r="15" spans="3:9" x14ac:dyDescent="0.4">
      <c r="C15" s="153"/>
      <c r="D15" s="116" t="s">
        <v>51</v>
      </c>
      <c r="E15" s="142">
        <v>5000</v>
      </c>
      <c r="F15" s="116" t="s">
        <v>188</v>
      </c>
      <c r="G15" s="404">
        <v>38.68</v>
      </c>
      <c r="H15" s="116" t="s">
        <v>241</v>
      </c>
      <c r="I15" s="402"/>
    </row>
    <row r="16" spans="3:9" x14ac:dyDescent="0.4">
      <c r="C16" s="153"/>
      <c r="D16" s="116" t="s">
        <v>52</v>
      </c>
      <c r="E16" s="142">
        <v>1000</v>
      </c>
      <c r="F16" s="116" t="s">
        <v>188</v>
      </c>
      <c r="G16" s="405">
        <f>G9</f>
        <v>5.8999999999999999E-3</v>
      </c>
      <c r="H16" s="116" t="s">
        <v>240</v>
      </c>
      <c r="I16" s="402"/>
    </row>
    <row r="17" spans="3:9" x14ac:dyDescent="0.4">
      <c r="C17" s="153"/>
      <c r="D17" s="116" t="s">
        <v>52</v>
      </c>
      <c r="E17" s="142">
        <v>44000</v>
      </c>
      <c r="F17" s="116" t="s">
        <v>188</v>
      </c>
      <c r="G17" s="405">
        <f t="shared" ref="G17:G19" si="0">G10</f>
        <v>5.2399999999999999E-3</v>
      </c>
      <c r="H17" s="116" t="s">
        <v>240</v>
      </c>
      <c r="I17" s="402"/>
    </row>
    <row r="18" spans="3:9" x14ac:dyDescent="0.4">
      <c r="C18" s="153"/>
      <c r="D18" s="116" t="s">
        <v>52</v>
      </c>
      <c r="E18" s="142">
        <v>50000</v>
      </c>
      <c r="F18" s="116" t="s">
        <v>188</v>
      </c>
      <c r="G18" s="405">
        <f t="shared" si="0"/>
        <v>4.5100000000000001E-3</v>
      </c>
      <c r="H18" s="116" t="s">
        <v>240</v>
      </c>
      <c r="I18" s="402"/>
    </row>
    <row r="19" spans="3:9" x14ac:dyDescent="0.4">
      <c r="C19" s="153"/>
      <c r="D19" s="116" t="s">
        <v>114</v>
      </c>
      <c r="E19" s="142">
        <f>SUM(E15:E18)</f>
        <v>100000</v>
      </c>
      <c r="F19" s="116" t="s">
        <v>188</v>
      </c>
      <c r="G19" s="405">
        <f t="shared" si="0"/>
        <v>3.7599999999999999E-3</v>
      </c>
      <c r="H19" s="116" t="s">
        <v>240</v>
      </c>
      <c r="I19" s="402"/>
    </row>
    <row r="20" spans="3:9" x14ac:dyDescent="0.4">
      <c r="C20" s="153"/>
      <c r="E20" s="142"/>
      <c r="G20" s="405"/>
      <c r="I20" s="402"/>
    </row>
    <row r="21" spans="3:9" x14ac:dyDescent="0.4">
      <c r="C21" s="153"/>
      <c r="D21" s="116" t="s">
        <v>335</v>
      </c>
      <c r="E21" s="142"/>
      <c r="G21" s="405"/>
      <c r="I21" s="402"/>
    </row>
    <row r="22" spans="3:9" x14ac:dyDescent="0.4">
      <c r="C22" s="153"/>
      <c r="D22" s="116" t="s">
        <v>51</v>
      </c>
      <c r="E22" s="142">
        <v>10000</v>
      </c>
      <c r="F22" s="116" t="s">
        <v>188</v>
      </c>
      <c r="G22" s="404">
        <v>69.11</v>
      </c>
      <c r="H22" s="116" t="s">
        <v>241</v>
      </c>
      <c r="I22" s="402"/>
    </row>
    <row r="23" spans="3:9" x14ac:dyDescent="0.4">
      <c r="C23" s="153"/>
      <c r="D23" s="116" t="s">
        <v>52</v>
      </c>
      <c r="E23" s="142">
        <v>40000</v>
      </c>
      <c r="F23" s="116" t="s">
        <v>188</v>
      </c>
      <c r="G23" s="405">
        <f>G17</f>
        <v>5.2399999999999999E-3</v>
      </c>
      <c r="H23" s="116" t="s">
        <v>240</v>
      </c>
      <c r="I23" s="402"/>
    </row>
    <row r="24" spans="3:9" x14ac:dyDescent="0.4">
      <c r="C24" s="153"/>
      <c r="D24" s="116" t="s">
        <v>52</v>
      </c>
      <c r="E24" s="142">
        <v>50000</v>
      </c>
      <c r="F24" s="116" t="s">
        <v>188</v>
      </c>
      <c r="G24" s="405">
        <f t="shared" ref="G24:G25" si="1">G18</f>
        <v>4.5100000000000001E-3</v>
      </c>
      <c r="H24" s="116" t="s">
        <v>240</v>
      </c>
      <c r="I24" s="402"/>
    </row>
    <row r="25" spans="3:9" x14ac:dyDescent="0.4">
      <c r="C25" s="153"/>
      <c r="D25" s="116" t="s">
        <v>114</v>
      </c>
      <c r="E25" s="142">
        <f>SUM(E21:E24)</f>
        <v>100000</v>
      </c>
      <c r="F25" s="116" t="s">
        <v>188</v>
      </c>
      <c r="G25" s="405">
        <f t="shared" si="1"/>
        <v>3.7599999999999999E-3</v>
      </c>
      <c r="H25" s="116" t="s">
        <v>240</v>
      </c>
      <c r="I25" s="402"/>
    </row>
    <row r="26" spans="3:9" x14ac:dyDescent="0.4">
      <c r="C26" s="153"/>
      <c r="E26" s="142"/>
      <c r="G26" s="405"/>
      <c r="I26" s="402"/>
    </row>
    <row r="27" spans="3:9" x14ac:dyDescent="0.4">
      <c r="C27" s="153"/>
      <c r="D27" s="116" t="s">
        <v>336</v>
      </c>
      <c r="E27" s="142"/>
      <c r="I27" s="402"/>
    </row>
    <row r="28" spans="3:9" x14ac:dyDescent="0.4">
      <c r="C28" s="153"/>
      <c r="D28" s="116" t="s">
        <v>51</v>
      </c>
      <c r="E28" s="142">
        <v>16000</v>
      </c>
      <c r="F28" s="116" t="s">
        <v>188</v>
      </c>
      <c r="G28" s="404">
        <v>101.44</v>
      </c>
      <c r="H28" s="116" t="s">
        <v>241</v>
      </c>
      <c r="I28" s="402"/>
    </row>
    <row r="29" spans="3:9" x14ac:dyDescent="0.4">
      <c r="C29" s="153"/>
      <c r="D29" s="116" t="s">
        <v>52</v>
      </c>
      <c r="E29" s="142">
        <v>34000</v>
      </c>
      <c r="F29" s="116" t="s">
        <v>188</v>
      </c>
      <c r="G29" s="405">
        <f>G23</f>
        <v>5.2399999999999999E-3</v>
      </c>
      <c r="H29" s="116" t="s">
        <v>240</v>
      </c>
      <c r="I29" s="402"/>
    </row>
    <row r="30" spans="3:9" x14ac:dyDescent="0.4">
      <c r="C30" s="153"/>
      <c r="D30" s="116" t="s">
        <v>52</v>
      </c>
      <c r="E30" s="142">
        <v>50000</v>
      </c>
      <c r="F30" s="116" t="s">
        <v>188</v>
      </c>
      <c r="G30" s="405">
        <f t="shared" ref="G30:G31" si="2">G24</f>
        <v>4.5100000000000001E-3</v>
      </c>
      <c r="H30" s="116" t="s">
        <v>240</v>
      </c>
      <c r="I30" s="402"/>
    </row>
    <row r="31" spans="3:9" x14ac:dyDescent="0.4">
      <c r="C31" s="153"/>
      <c r="D31" s="116" t="s">
        <v>114</v>
      </c>
      <c r="E31" s="142">
        <f>SUM(E27:E30)</f>
        <v>100000</v>
      </c>
      <c r="F31" s="116" t="s">
        <v>188</v>
      </c>
      <c r="G31" s="405">
        <f t="shared" si="2"/>
        <v>3.7599999999999999E-3</v>
      </c>
      <c r="H31" s="116" t="s">
        <v>240</v>
      </c>
      <c r="I31" s="402"/>
    </row>
    <row r="32" spans="3:9" x14ac:dyDescent="0.4">
      <c r="C32" s="153"/>
      <c r="E32" s="142"/>
      <c r="G32" s="405"/>
      <c r="I32" s="402"/>
    </row>
    <row r="33" spans="3:9" x14ac:dyDescent="0.4">
      <c r="C33" s="153"/>
      <c r="D33" s="116" t="s">
        <v>337</v>
      </c>
      <c r="E33" s="142"/>
      <c r="I33" s="402"/>
    </row>
    <row r="34" spans="3:9" x14ac:dyDescent="0.4">
      <c r="C34" s="153"/>
      <c r="D34" s="116" t="s">
        <v>51</v>
      </c>
      <c r="E34" s="142">
        <v>25000</v>
      </c>
      <c r="F34" s="116" t="s">
        <v>188</v>
      </c>
      <c r="G34" s="404">
        <v>164.67</v>
      </c>
      <c r="H34" s="116" t="s">
        <v>241</v>
      </c>
      <c r="I34" s="402"/>
    </row>
    <row r="35" spans="3:9" x14ac:dyDescent="0.4">
      <c r="C35" s="153"/>
      <c r="D35" s="116" t="s">
        <v>52</v>
      </c>
      <c r="E35" s="142">
        <v>25000</v>
      </c>
      <c r="F35" s="116" t="s">
        <v>188</v>
      </c>
      <c r="G35" s="405">
        <f>G29</f>
        <v>5.2399999999999999E-3</v>
      </c>
      <c r="H35" s="116" t="s">
        <v>240</v>
      </c>
      <c r="I35" s="402"/>
    </row>
    <row r="36" spans="3:9" x14ac:dyDescent="0.4">
      <c r="C36" s="153"/>
      <c r="D36" s="116" t="s">
        <v>52</v>
      </c>
      <c r="E36" s="142">
        <v>50000</v>
      </c>
      <c r="F36" s="116" t="s">
        <v>188</v>
      </c>
      <c r="G36" s="405">
        <f t="shared" ref="G36:G37" si="3">G30</f>
        <v>4.5100000000000001E-3</v>
      </c>
      <c r="H36" s="116" t="s">
        <v>240</v>
      </c>
      <c r="I36" s="402"/>
    </row>
    <row r="37" spans="3:9" x14ac:dyDescent="0.4">
      <c r="C37" s="153"/>
      <c r="D37" s="116" t="s">
        <v>114</v>
      </c>
      <c r="E37" s="142">
        <f>SUM(E33:E36)</f>
        <v>100000</v>
      </c>
      <c r="F37" s="116" t="s">
        <v>188</v>
      </c>
      <c r="G37" s="405">
        <f t="shared" si="3"/>
        <v>3.7599999999999999E-3</v>
      </c>
      <c r="H37" s="116" t="s">
        <v>240</v>
      </c>
      <c r="I37" s="402"/>
    </row>
    <row r="38" spans="3:9" x14ac:dyDescent="0.4">
      <c r="C38" s="153"/>
      <c r="E38" s="142"/>
      <c r="G38" s="405"/>
      <c r="I38" s="402"/>
    </row>
    <row r="39" spans="3:9" x14ac:dyDescent="0.4">
      <c r="C39" s="153"/>
      <c r="D39" s="116" t="s">
        <v>338</v>
      </c>
      <c r="E39" s="142"/>
      <c r="I39" s="402"/>
    </row>
    <row r="40" spans="3:9" x14ac:dyDescent="0.4">
      <c r="C40" s="153"/>
      <c r="D40" s="116" t="s">
        <v>51</v>
      </c>
      <c r="E40" s="142">
        <v>30000</v>
      </c>
      <c r="F40" s="116" t="s">
        <v>188</v>
      </c>
      <c r="G40" s="404">
        <v>227.81</v>
      </c>
      <c r="H40" s="116" t="s">
        <v>241</v>
      </c>
      <c r="I40" s="402"/>
    </row>
    <row r="41" spans="3:9" x14ac:dyDescent="0.4">
      <c r="C41" s="153"/>
      <c r="D41" s="116" t="s">
        <v>52</v>
      </c>
      <c r="E41" s="142">
        <v>20000</v>
      </c>
      <c r="F41" s="116" t="s">
        <v>188</v>
      </c>
      <c r="G41" s="405">
        <f>G35</f>
        <v>5.2399999999999999E-3</v>
      </c>
      <c r="H41" s="116" t="s">
        <v>240</v>
      </c>
      <c r="I41" s="402"/>
    </row>
    <row r="42" spans="3:9" x14ac:dyDescent="0.4">
      <c r="C42" s="153"/>
      <c r="D42" s="116" t="s">
        <v>52</v>
      </c>
      <c r="E42" s="142">
        <v>50000</v>
      </c>
      <c r="F42" s="116" t="s">
        <v>188</v>
      </c>
      <c r="G42" s="405">
        <f t="shared" ref="G42:G43" si="4">G36</f>
        <v>4.5100000000000001E-3</v>
      </c>
      <c r="H42" s="116" t="s">
        <v>240</v>
      </c>
      <c r="I42" s="402"/>
    </row>
    <row r="43" spans="3:9" x14ac:dyDescent="0.4">
      <c r="C43" s="153"/>
      <c r="D43" s="116" t="s">
        <v>114</v>
      </c>
      <c r="E43" s="142">
        <f>SUM(E39:E42)</f>
        <v>100000</v>
      </c>
      <c r="F43" s="116" t="s">
        <v>188</v>
      </c>
      <c r="G43" s="405">
        <f t="shared" si="4"/>
        <v>3.7599999999999999E-3</v>
      </c>
      <c r="H43" s="116" t="s">
        <v>240</v>
      </c>
      <c r="I43" s="402"/>
    </row>
    <row r="44" spans="3:9" x14ac:dyDescent="0.4">
      <c r="C44" s="153"/>
      <c r="E44" s="142"/>
      <c r="G44" s="405"/>
      <c r="I44" s="402"/>
    </row>
    <row r="45" spans="3:9" x14ac:dyDescent="0.4">
      <c r="C45" s="153"/>
      <c r="D45" s="116" t="s">
        <v>339</v>
      </c>
      <c r="E45" s="142"/>
      <c r="I45" s="402"/>
    </row>
    <row r="46" spans="3:9" x14ac:dyDescent="0.4">
      <c r="C46" s="153"/>
      <c r="D46" s="116" t="s">
        <v>51</v>
      </c>
      <c r="E46" s="142">
        <v>60000</v>
      </c>
      <c r="F46" s="116" t="s">
        <v>188</v>
      </c>
      <c r="G46" s="404">
        <v>397.91</v>
      </c>
      <c r="H46" s="116" t="s">
        <v>241</v>
      </c>
      <c r="I46" s="402"/>
    </row>
    <row r="47" spans="3:9" x14ac:dyDescent="0.4">
      <c r="C47" s="153"/>
      <c r="D47" s="116" t="s">
        <v>52</v>
      </c>
      <c r="E47" s="142">
        <v>40000</v>
      </c>
      <c r="F47" s="116" t="s">
        <v>188</v>
      </c>
      <c r="G47" s="405">
        <f>G42</f>
        <v>4.5100000000000001E-3</v>
      </c>
      <c r="H47" s="116" t="s">
        <v>240</v>
      </c>
      <c r="I47" s="402"/>
    </row>
    <row r="48" spans="3:9" x14ac:dyDescent="0.4">
      <c r="C48" s="153"/>
      <c r="D48" s="116" t="s">
        <v>114</v>
      </c>
      <c r="E48" s="142">
        <f>SUM(E45:E47)</f>
        <v>100000</v>
      </c>
      <c r="F48" s="116" t="s">
        <v>188</v>
      </c>
      <c r="G48" s="405">
        <f>G43</f>
        <v>3.7599999999999999E-3</v>
      </c>
      <c r="H48" s="116" t="s">
        <v>240</v>
      </c>
      <c r="I48" s="402"/>
    </row>
    <row r="49" spans="3:9" x14ac:dyDescent="0.4">
      <c r="C49" s="153"/>
      <c r="E49" s="142"/>
      <c r="G49" s="405"/>
      <c r="I49" s="402"/>
    </row>
    <row r="50" spans="3:9" x14ac:dyDescent="0.4">
      <c r="C50" s="153"/>
      <c r="D50" s="116" t="s">
        <v>340</v>
      </c>
      <c r="E50" s="142"/>
      <c r="I50" s="402"/>
    </row>
    <row r="51" spans="3:9" x14ac:dyDescent="0.4">
      <c r="C51" s="153"/>
      <c r="D51" s="116" t="s">
        <v>51</v>
      </c>
      <c r="E51" s="142">
        <v>80000</v>
      </c>
      <c r="F51" s="116" t="s">
        <v>188</v>
      </c>
      <c r="G51" s="404">
        <v>504.71</v>
      </c>
      <c r="H51" s="116" t="s">
        <v>241</v>
      </c>
      <c r="I51" s="402"/>
    </row>
    <row r="52" spans="3:9" x14ac:dyDescent="0.4">
      <c r="C52" s="153"/>
      <c r="D52" s="116" t="s">
        <v>52</v>
      </c>
      <c r="E52" s="142">
        <v>20000</v>
      </c>
      <c r="F52" s="116" t="s">
        <v>188</v>
      </c>
      <c r="G52" s="405">
        <f>G47</f>
        <v>4.5100000000000001E-3</v>
      </c>
      <c r="H52" s="116" t="s">
        <v>240</v>
      </c>
      <c r="I52" s="402"/>
    </row>
    <row r="53" spans="3:9" x14ac:dyDescent="0.4">
      <c r="C53" s="153"/>
      <c r="D53" s="116" t="s">
        <v>114</v>
      </c>
      <c r="E53" s="142">
        <f>SUM(E50:E52)</f>
        <v>100000</v>
      </c>
      <c r="F53" s="116" t="s">
        <v>188</v>
      </c>
      <c r="G53" s="405">
        <f>G48</f>
        <v>3.7599999999999999E-3</v>
      </c>
      <c r="H53" s="116" t="s">
        <v>240</v>
      </c>
      <c r="I53" s="402"/>
    </row>
    <row r="54" spans="3:9" x14ac:dyDescent="0.4">
      <c r="C54" s="153"/>
      <c r="E54" s="142"/>
      <c r="G54" s="405"/>
      <c r="I54" s="402"/>
    </row>
    <row r="55" spans="3:9" x14ac:dyDescent="0.4">
      <c r="C55" s="153"/>
      <c r="D55" s="116" t="s">
        <v>460</v>
      </c>
      <c r="E55" s="142"/>
      <c r="G55" s="405"/>
      <c r="I55" s="402"/>
    </row>
    <row r="56" spans="3:9" x14ac:dyDescent="0.4">
      <c r="C56" s="153"/>
      <c r="D56" s="116" t="s">
        <v>711</v>
      </c>
      <c r="E56" s="142"/>
      <c r="G56" s="406">
        <v>17.53</v>
      </c>
      <c r="I56" s="402"/>
    </row>
    <row r="57" spans="3:9" x14ac:dyDescent="0.4">
      <c r="C57" s="153"/>
      <c r="D57" s="116" t="s">
        <v>712</v>
      </c>
      <c r="G57" s="406">
        <v>26.2</v>
      </c>
      <c r="I57" s="402"/>
    </row>
    <row r="58" spans="3:9" x14ac:dyDescent="0.4">
      <c r="C58" s="153"/>
      <c r="D58" t="s">
        <v>355</v>
      </c>
      <c r="E58" s="142"/>
      <c r="G58" s="406">
        <v>68.05</v>
      </c>
      <c r="I58" s="402"/>
    </row>
    <row r="59" spans="3:9" x14ac:dyDescent="0.4">
      <c r="C59" s="153"/>
      <c r="D59" t="s">
        <v>356</v>
      </c>
      <c r="E59" s="142"/>
      <c r="G59" s="406">
        <v>147.91999999999999</v>
      </c>
      <c r="I59" s="402"/>
    </row>
    <row r="60" spans="3:9" x14ac:dyDescent="0.4">
      <c r="C60" s="153"/>
      <c r="D60" t="s">
        <v>351</v>
      </c>
      <c r="E60" s="142"/>
      <c r="G60" s="406">
        <v>340.77</v>
      </c>
      <c r="I60" s="402"/>
    </row>
    <row r="61" spans="3:9" x14ac:dyDescent="0.4">
      <c r="C61" s="153"/>
      <c r="D61" t="s">
        <v>713</v>
      </c>
      <c r="E61" s="142"/>
      <c r="G61" s="406">
        <v>658.17</v>
      </c>
      <c r="I61" s="402"/>
    </row>
    <row r="62" spans="3:9" x14ac:dyDescent="0.4">
      <c r="C62" s="153"/>
      <c r="D62" t="s">
        <v>714</v>
      </c>
      <c r="E62" s="142"/>
      <c r="G62" s="406">
        <v>1139.7</v>
      </c>
      <c r="I62" s="402"/>
    </row>
    <row r="63" spans="3:9" x14ac:dyDescent="0.4">
      <c r="C63" s="153"/>
      <c r="D63" t="s">
        <v>715</v>
      </c>
      <c r="E63" s="142"/>
      <c r="G63" s="406">
        <v>1799.31</v>
      </c>
      <c r="I63" s="402"/>
    </row>
    <row r="64" spans="3:9" x14ac:dyDescent="0.4">
      <c r="C64" s="153"/>
      <c r="D64"/>
      <c r="E64" s="142"/>
      <c r="G64" s="406"/>
      <c r="I64" s="402"/>
    </row>
    <row r="65" spans="3:9" x14ac:dyDescent="0.4">
      <c r="C65" s="154"/>
      <c r="D65" s="310"/>
      <c r="E65" s="310"/>
      <c r="F65" s="310"/>
      <c r="G65" s="407"/>
      <c r="H65" s="310"/>
      <c r="I65" s="408"/>
    </row>
  </sheetData>
  <mergeCells count="2">
    <mergeCell ref="D3:H3"/>
    <mergeCell ref="D4:H4"/>
  </mergeCells>
  <printOptions horizontalCentered="1"/>
  <pageMargins left="0.7" right="0.7" top="1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47"/>
  <sheetViews>
    <sheetView showGridLines="0" topLeftCell="A11" workbookViewId="0">
      <selection activeCell="G20" sqref="G20"/>
    </sheetView>
  </sheetViews>
  <sheetFormatPr defaultColWidth="8.88671875" defaultRowHeight="14.25" x14ac:dyDescent="0.45"/>
  <cols>
    <col min="1" max="1" width="8.44140625" style="1" customWidth="1"/>
    <col min="2" max="2" width="7.5546875" style="1" customWidth="1"/>
    <col min="3" max="3" width="8" style="1" customWidth="1"/>
    <col min="4" max="9" width="15.77734375" style="1" customWidth="1"/>
    <col min="10" max="10" width="10.77734375" style="1" customWidth="1"/>
    <col min="11" max="11" width="21.6640625" style="1" customWidth="1"/>
    <col min="12" max="12" width="11.44140625" style="139" customWidth="1"/>
    <col min="13" max="13" width="9" style="1" bestFit="1" customWidth="1"/>
    <col min="14" max="14" width="8.88671875" style="1"/>
    <col min="15" max="15" width="13.109375" style="1" customWidth="1"/>
    <col min="16" max="16" width="15" style="1" customWidth="1"/>
    <col min="17" max="16384" width="8.88671875" style="1"/>
  </cols>
  <sheetData>
    <row r="1" spans="1:16" ht="18" x14ac:dyDescent="0.55000000000000004">
      <c r="A1" s="246"/>
      <c r="B1" s="658" t="s">
        <v>220</v>
      </c>
      <c r="C1" s="658"/>
      <c r="D1" s="658"/>
      <c r="E1" s="658"/>
      <c r="F1" s="658"/>
      <c r="G1" s="658"/>
      <c r="H1" s="658"/>
      <c r="I1" s="658"/>
      <c r="J1" s="658"/>
      <c r="K1" s="269"/>
      <c r="L1" s="247"/>
    </row>
    <row r="2" spans="1:16" ht="18" x14ac:dyDescent="0.45">
      <c r="A2" s="92"/>
      <c r="B2" s="659" t="str">
        <f>Adj!B1</f>
        <v>Butler County Water System, Inc.</v>
      </c>
      <c r="C2" s="659"/>
      <c r="D2" s="659"/>
      <c r="E2" s="659"/>
      <c r="F2" s="659"/>
      <c r="G2" s="659"/>
      <c r="H2" s="659"/>
      <c r="I2" s="659"/>
      <c r="J2" s="659"/>
      <c r="K2" s="138"/>
      <c r="L2" s="238"/>
    </row>
    <row r="3" spans="1:16" ht="15.4" x14ac:dyDescent="0.45">
      <c r="A3" s="92"/>
      <c r="B3"/>
      <c r="C3"/>
      <c r="D3" s="138"/>
      <c r="E3" s="138"/>
      <c r="F3" s="138"/>
      <c r="G3" s="138"/>
      <c r="H3" s="138"/>
      <c r="I3" s="138"/>
      <c r="J3" s="138"/>
      <c r="K3" s="138"/>
      <c r="L3" s="238"/>
      <c r="M3" s="9"/>
    </row>
    <row r="4" spans="1:16" ht="17.649999999999999" x14ac:dyDescent="0.75">
      <c r="A4" s="92"/>
      <c r="B4"/>
      <c r="C4"/>
      <c r="D4" s="138"/>
      <c r="E4" s="138"/>
      <c r="F4" s="138"/>
      <c r="G4" s="138"/>
      <c r="H4" s="138"/>
      <c r="I4" s="138"/>
      <c r="J4" s="138"/>
      <c r="K4" s="138"/>
      <c r="L4" s="238"/>
      <c r="M4" s="74"/>
      <c r="N4" s="87"/>
      <c r="O4" s="87"/>
    </row>
    <row r="5" spans="1:16" ht="17.649999999999999" x14ac:dyDescent="0.75">
      <c r="A5" s="92"/>
      <c r="B5"/>
      <c r="C5"/>
      <c r="D5" s="138"/>
      <c r="E5" s="138"/>
      <c r="F5" s="138"/>
      <c r="G5" s="138"/>
      <c r="H5" s="138"/>
      <c r="I5" s="138"/>
      <c r="J5" s="138"/>
      <c r="K5" s="138"/>
      <c r="L5" s="238"/>
      <c r="M5" s="21"/>
      <c r="N5" s="87"/>
      <c r="O5" s="87"/>
    </row>
    <row r="6" spans="1:16" ht="15.4" x14ac:dyDescent="0.45">
      <c r="A6" s="92"/>
      <c r="B6"/>
      <c r="C6"/>
      <c r="D6" s="138"/>
      <c r="E6" s="138"/>
      <c r="F6" s="138"/>
      <c r="G6" s="138"/>
      <c r="H6" s="138"/>
      <c r="I6" s="138"/>
      <c r="J6" s="138"/>
      <c r="K6" s="138"/>
      <c r="L6" s="238"/>
    </row>
    <row r="7" spans="1:16" ht="15.4" x14ac:dyDescent="0.45">
      <c r="A7" s="92"/>
      <c r="B7"/>
      <c r="C7"/>
      <c r="D7" s="138"/>
      <c r="E7" s="138"/>
      <c r="F7" s="138"/>
      <c r="G7" s="138"/>
      <c r="H7" s="138"/>
      <c r="I7" s="138"/>
      <c r="J7" s="138"/>
      <c r="K7" s="138"/>
      <c r="L7" s="238"/>
      <c r="O7" s="139">
        <f>G18</f>
        <v>2921163.0534000765</v>
      </c>
    </row>
    <row r="8" spans="1:16" ht="15.4" x14ac:dyDescent="0.45">
      <c r="A8" s="92"/>
      <c r="B8"/>
      <c r="C8"/>
      <c r="D8" s="138"/>
      <c r="E8" s="138"/>
      <c r="F8" s="138"/>
      <c r="G8" s="138"/>
      <c r="H8" s="138"/>
      <c r="I8" s="138"/>
      <c r="J8" s="138"/>
      <c r="K8" s="138"/>
      <c r="L8" s="238"/>
      <c r="O8" s="139">
        <f>G29</f>
        <v>8963.52</v>
      </c>
    </row>
    <row r="9" spans="1:16" ht="15.4" x14ac:dyDescent="0.45">
      <c r="A9" s="92"/>
      <c r="B9" t="s">
        <v>333</v>
      </c>
      <c r="C9"/>
      <c r="D9" s="138"/>
      <c r="E9" s="138"/>
      <c r="F9" s="138"/>
      <c r="G9" s="138">
        <f>I50</f>
        <v>2688197.42</v>
      </c>
      <c r="H9" s="138"/>
      <c r="I9" s="138"/>
      <c r="J9" s="138"/>
      <c r="K9" s="138"/>
      <c r="L9" s="238"/>
      <c r="O9" s="139">
        <f>G18+G29</f>
        <v>2930126.5734000765</v>
      </c>
      <c r="P9" s="139"/>
    </row>
    <row r="10" spans="1:16" ht="15.4" x14ac:dyDescent="0.45">
      <c r="A10" s="92"/>
      <c r="B10" t="s">
        <v>334</v>
      </c>
      <c r="C10"/>
      <c r="D10" s="138"/>
      <c r="E10" s="138"/>
      <c r="F10" s="138"/>
      <c r="G10" s="138">
        <f>I70</f>
        <v>120484.46</v>
      </c>
      <c r="H10" s="138"/>
      <c r="I10" s="138"/>
      <c r="J10" s="138"/>
      <c r="K10" s="138"/>
      <c r="L10" s="238"/>
      <c r="O10" s="1">
        <f>-'SAO - DSC'!L55</f>
        <v>-2929591.3826733292</v>
      </c>
    </row>
    <row r="11" spans="1:16" ht="15.4" x14ac:dyDescent="0.45">
      <c r="A11" s="92"/>
      <c r="B11" t="s">
        <v>335</v>
      </c>
      <c r="C11"/>
      <c r="D11" s="138"/>
      <c r="E11" s="138"/>
      <c r="F11" s="138"/>
      <c r="G11" s="138">
        <f>I85</f>
        <v>59741.72</v>
      </c>
      <c r="H11" s="138"/>
      <c r="I11" s="138"/>
      <c r="J11" s="138"/>
      <c r="K11" s="138"/>
      <c r="L11" s="238"/>
      <c r="O11" s="139">
        <f>SUM(O9:O10)</f>
        <v>535.19072674727067</v>
      </c>
      <c r="P11" s="139"/>
    </row>
    <row r="12" spans="1:16" ht="15.4" x14ac:dyDescent="0.45">
      <c r="A12" s="92"/>
      <c r="B12" t="s">
        <v>336</v>
      </c>
      <c r="C12"/>
      <c r="D12" s="138"/>
      <c r="E12" s="138"/>
      <c r="F12" s="138"/>
      <c r="G12" s="138">
        <f>I100</f>
        <v>24668.37</v>
      </c>
      <c r="H12" s="138"/>
      <c r="I12" s="138"/>
      <c r="J12" s="138"/>
      <c r="K12" s="138"/>
      <c r="L12" s="238"/>
      <c r="N12"/>
    </row>
    <row r="13" spans="1:16" ht="15.4" x14ac:dyDescent="0.45">
      <c r="A13" s="92"/>
      <c r="B13" t="s">
        <v>338</v>
      </c>
      <c r="C13"/>
      <c r="D13" s="138"/>
      <c r="E13" s="138"/>
      <c r="F13" s="138"/>
      <c r="G13" s="138">
        <f>I115</f>
        <v>7568.0899999999992</v>
      </c>
      <c r="H13" s="138"/>
      <c r="I13" s="138"/>
      <c r="J13" s="138"/>
      <c r="K13" s="138"/>
      <c r="L13" s="238"/>
    </row>
    <row r="14" spans="1:16" ht="15.4" x14ac:dyDescent="0.45">
      <c r="A14" s="92"/>
      <c r="B14" t="s">
        <v>339</v>
      </c>
      <c r="C14"/>
      <c r="D14" s="138"/>
      <c r="E14" s="138"/>
      <c r="F14" s="138"/>
      <c r="G14" s="138">
        <f>I128</f>
        <v>28385.649999999998</v>
      </c>
      <c r="H14" s="138"/>
      <c r="I14" s="138"/>
      <c r="J14" s="138"/>
      <c r="K14" s="138"/>
      <c r="L14" s="238"/>
    </row>
    <row r="15" spans="1:16" ht="15.4" x14ac:dyDescent="0.45">
      <c r="A15" s="92"/>
      <c r="B15" t="s">
        <v>32</v>
      </c>
      <c r="C15"/>
      <c r="D15" s="138"/>
      <c r="E15" s="138"/>
      <c r="F15" s="138"/>
      <c r="G15" s="213">
        <f>SUM(G9:G14)</f>
        <v>2929045.71</v>
      </c>
      <c r="H15" s="138"/>
      <c r="I15" s="138"/>
      <c r="J15" s="138"/>
      <c r="K15" s="138"/>
      <c r="L15" s="238"/>
    </row>
    <row r="16" spans="1:16" ht="15.4" x14ac:dyDescent="0.45">
      <c r="A16" s="92"/>
      <c r="B16" t="s">
        <v>341</v>
      </c>
      <c r="C16"/>
      <c r="D16" s="138"/>
      <c r="E16" s="138"/>
      <c r="F16" s="138"/>
      <c r="G16" s="138">
        <v>-4062.0665999999997</v>
      </c>
      <c r="H16" s="138"/>
      <c r="I16" s="138"/>
      <c r="J16" s="138"/>
      <c r="K16"/>
      <c r="L16" s="525"/>
    </row>
    <row r="17" spans="1:12" ht="15.4" x14ac:dyDescent="0.45">
      <c r="A17" s="92"/>
      <c r="B17" t="s">
        <v>342</v>
      </c>
      <c r="C17"/>
      <c r="D17" s="138"/>
      <c r="E17" s="138"/>
      <c r="F17" s="138"/>
      <c r="G17" s="213">
        <v>-3820.5899999236572</v>
      </c>
      <c r="H17" s="138"/>
      <c r="I17" s="138"/>
      <c r="J17" s="138"/>
      <c r="K17"/>
      <c r="L17" s="525"/>
    </row>
    <row r="18" spans="1:12" ht="15.4" x14ac:dyDescent="0.45">
      <c r="A18" s="92"/>
      <c r="B18" t="s">
        <v>343</v>
      </c>
      <c r="C18"/>
      <c r="D18" s="138"/>
      <c r="E18" s="138"/>
      <c r="F18" s="138"/>
      <c r="G18" s="138">
        <f>SUM(G15:G17)</f>
        <v>2921163.0534000765</v>
      </c>
      <c r="H18" s="138"/>
      <c r="I18" s="138"/>
      <c r="J18" s="138"/>
      <c r="K18"/>
      <c r="L18" s="525"/>
    </row>
    <row r="19" spans="1:12" ht="15.4" x14ac:dyDescent="0.45">
      <c r="A19" s="92"/>
      <c r="B19" t="s">
        <v>344</v>
      </c>
      <c r="C19"/>
      <c r="D19" s="138"/>
      <c r="E19" s="138"/>
      <c r="F19" s="138"/>
      <c r="G19" s="213">
        <f>'BA Existing Rates'!I15</f>
        <v>-2200475</v>
      </c>
      <c r="H19" s="138"/>
      <c r="I19" s="138"/>
      <c r="J19" s="138"/>
      <c r="K19"/>
      <c r="L19" s="525"/>
    </row>
    <row r="20" spans="1:12" ht="15.75" thickBot="1" x14ac:dyDescent="0.5">
      <c r="A20" s="92"/>
      <c r="B20" t="s">
        <v>237</v>
      </c>
      <c r="C20"/>
      <c r="D20" s="138"/>
      <c r="E20" s="138"/>
      <c r="F20" s="138"/>
      <c r="G20" s="214">
        <f>SUM(G18:G19)</f>
        <v>720688.05340007646</v>
      </c>
      <c r="H20" s="138"/>
      <c r="I20" s="138"/>
      <c r="J20" s="138"/>
      <c r="K20"/>
      <c r="L20" s="525"/>
    </row>
    <row r="21" spans="1:12" ht="15.75" thickTop="1" x14ac:dyDescent="0.45">
      <c r="A21" s="92"/>
      <c r="B21"/>
      <c r="C21"/>
      <c r="D21" s="138"/>
      <c r="E21" s="138"/>
      <c r="F21" s="138"/>
      <c r="G21" s="138"/>
      <c r="H21" s="138"/>
      <c r="I21" s="138"/>
      <c r="J21" s="138"/>
      <c r="K21"/>
      <c r="L21" s="525"/>
    </row>
    <row r="22" spans="1:12" ht="15.4" x14ac:dyDescent="0.45">
      <c r="A22" s="92"/>
      <c r="B22" t="s">
        <v>265</v>
      </c>
      <c r="C22"/>
      <c r="D22" s="138"/>
      <c r="E22" s="138"/>
      <c r="F22" s="138"/>
      <c r="G22" s="138"/>
      <c r="H22" s="138"/>
      <c r="I22" s="138"/>
      <c r="J22" s="138"/>
      <c r="K22"/>
      <c r="L22" s="525"/>
    </row>
    <row r="23" spans="1:12" ht="15.4" x14ac:dyDescent="0.45">
      <c r="A23" s="92"/>
      <c r="B23" s="116" t="s">
        <v>357</v>
      </c>
      <c r="C23"/>
      <c r="D23" s="138"/>
      <c r="E23" s="138"/>
      <c r="F23" s="138"/>
      <c r="G23" s="138">
        <f>I135</f>
        <v>1095.48</v>
      </c>
      <c r="H23" s="138"/>
      <c r="I23" s="138"/>
      <c r="J23" s="138"/>
      <c r="K23"/>
      <c r="L23" s="525"/>
    </row>
    <row r="24" spans="1:12" ht="15.4" x14ac:dyDescent="0.45">
      <c r="A24" s="92"/>
      <c r="B24" t="s">
        <v>345</v>
      </c>
      <c r="C24"/>
      <c r="D24" s="138"/>
      <c r="E24" s="138"/>
      <c r="F24" s="138"/>
      <c r="G24" s="138">
        <f>I140</f>
        <v>2381.52</v>
      </c>
      <c r="H24" s="138"/>
      <c r="I24" s="138"/>
      <c r="J24" s="138"/>
      <c r="K24"/>
      <c r="L24" s="525"/>
    </row>
    <row r="25" spans="1:12" ht="15.4" x14ac:dyDescent="0.45">
      <c r="A25" s="92"/>
      <c r="B25" t="s">
        <v>346</v>
      </c>
      <c r="C25"/>
      <c r="D25" s="138"/>
      <c r="E25" s="138"/>
      <c r="F25" s="138"/>
      <c r="G25" s="138">
        <f>I145</f>
        <v>5486.52</v>
      </c>
      <c r="H25" s="138"/>
      <c r="I25" s="138"/>
      <c r="J25" s="138"/>
      <c r="K25"/>
      <c r="L25" s="525"/>
    </row>
    <row r="26" spans="1:12" ht="15.4" x14ac:dyDescent="0.45">
      <c r="A26" s="92"/>
      <c r="B26" t="s">
        <v>32</v>
      </c>
      <c r="C26"/>
      <c r="D26" s="138"/>
      <c r="E26" s="138"/>
      <c r="F26" s="138"/>
      <c r="G26" s="213">
        <f>SUM(G23:G25)</f>
        <v>8963.52</v>
      </c>
      <c r="H26" s="138"/>
      <c r="L26" s="238"/>
    </row>
    <row r="27" spans="1:12" ht="15.4" x14ac:dyDescent="0.45">
      <c r="A27" s="92"/>
      <c r="B27" t="s">
        <v>341</v>
      </c>
      <c r="C27"/>
      <c r="D27" s="138"/>
      <c r="E27" s="138"/>
      <c r="F27" s="138"/>
      <c r="G27" s="138">
        <v>0</v>
      </c>
      <c r="H27" s="138"/>
      <c r="I27" s="138"/>
      <c r="J27" s="138"/>
      <c r="K27" s="138"/>
      <c r="L27" s="238"/>
    </row>
    <row r="28" spans="1:12" ht="15.4" x14ac:dyDescent="0.45">
      <c r="A28" s="92"/>
      <c r="B28" t="s">
        <v>342</v>
      </c>
      <c r="C28"/>
      <c r="D28" s="138"/>
      <c r="E28" s="138"/>
      <c r="F28" s="138"/>
      <c r="G28" s="213">
        <v>0</v>
      </c>
      <c r="H28" s="138"/>
      <c r="I28" s="138"/>
      <c r="J28" s="138"/>
      <c r="K28" s="138"/>
      <c r="L28" s="238"/>
    </row>
    <row r="29" spans="1:12" ht="15.4" x14ac:dyDescent="0.45">
      <c r="A29" s="92"/>
      <c r="B29" t="s">
        <v>343</v>
      </c>
      <c r="C29"/>
      <c r="D29" s="138"/>
      <c r="E29" s="138"/>
      <c r="F29" s="138"/>
      <c r="G29" s="138">
        <f>SUM(G26:G28)</f>
        <v>8963.52</v>
      </c>
      <c r="H29" s="138"/>
      <c r="I29" s="138"/>
      <c r="J29" s="138"/>
      <c r="K29" s="138"/>
      <c r="L29" s="238"/>
    </row>
    <row r="30" spans="1:12" ht="15.4" x14ac:dyDescent="0.45">
      <c r="A30" s="92"/>
      <c r="B30" t="s">
        <v>347</v>
      </c>
      <c r="C30"/>
      <c r="D30" s="138"/>
      <c r="E30" s="138"/>
      <c r="F30" s="138"/>
      <c r="G30" s="213">
        <f>-'BA Existing Rates'!I25</f>
        <v>-6680.8799999999992</v>
      </c>
      <c r="H30" s="138"/>
      <c r="I30" s="138"/>
      <c r="J30" s="138"/>
      <c r="K30" s="138"/>
      <c r="L30" s="238"/>
    </row>
    <row r="31" spans="1:12" ht="15.75" thickBot="1" x14ac:dyDescent="0.5">
      <c r="A31" s="92"/>
      <c r="B31" t="s">
        <v>237</v>
      </c>
      <c r="C31"/>
      <c r="D31" s="138"/>
      <c r="E31" s="138"/>
      <c r="F31" s="138"/>
      <c r="G31" s="214">
        <f>SUM(G29:G30)</f>
        <v>2282.6400000000012</v>
      </c>
      <c r="H31" s="138"/>
      <c r="I31" s="138"/>
      <c r="J31" s="138"/>
      <c r="K31" s="138"/>
      <c r="L31" s="238"/>
    </row>
    <row r="32" spans="1:12" ht="15.75" thickTop="1" x14ac:dyDescent="0.45">
      <c r="A32" s="92"/>
      <c r="B32"/>
      <c r="C32"/>
      <c r="D32" s="138"/>
      <c r="E32" s="138"/>
      <c r="F32" s="138"/>
      <c r="G32" s="138"/>
      <c r="H32" s="138"/>
      <c r="I32" s="138"/>
      <c r="J32" s="138"/>
      <c r="K32" s="138"/>
      <c r="L32" s="238"/>
    </row>
    <row r="33" spans="1:12" ht="15.4" x14ac:dyDescent="0.45">
      <c r="A33" s="92"/>
      <c r="B33"/>
      <c r="C33"/>
      <c r="D33" s="138"/>
      <c r="E33" s="138"/>
      <c r="F33" s="138"/>
      <c r="G33" s="138"/>
      <c r="H33" s="138"/>
      <c r="I33" s="138"/>
      <c r="J33" s="138"/>
      <c r="K33" s="138"/>
      <c r="L33" s="238"/>
    </row>
    <row r="34" spans="1:12" ht="15.4" x14ac:dyDescent="0.45">
      <c r="A34" s="92"/>
      <c r="B34"/>
      <c r="C34"/>
      <c r="D34" s="138"/>
      <c r="E34" s="138"/>
      <c r="F34" s="138"/>
      <c r="G34" s="138"/>
      <c r="H34" s="138"/>
      <c r="I34" s="138"/>
      <c r="J34" s="138"/>
      <c r="K34" s="138"/>
      <c r="L34" s="238"/>
    </row>
    <row r="35" spans="1:12" ht="15.4" x14ac:dyDescent="0.45">
      <c r="A35" s="92"/>
      <c r="B35" t="s">
        <v>333</v>
      </c>
      <c r="C35"/>
      <c r="D35" s="138"/>
      <c r="E35" s="138"/>
      <c r="F35" s="138"/>
      <c r="G35" s="138"/>
      <c r="H35" s="138"/>
      <c r="I35" s="138"/>
      <c r="J35" s="138"/>
      <c r="K35" s="138"/>
      <c r="L35" s="238"/>
    </row>
    <row r="36" spans="1:12" ht="15.4" x14ac:dyDescent="0.45">
      <c r="A36" s="92"/>
      <c r="B36"/>
      <c r="C36" s="197"/>
      <c r="D36" s="257" t="s">
        <v>187</v>
      </c>
      <c r="E36" s="523" t="s">
        <v>188</v>
      </c>
      <c r="F36" s="198">
        <f>C37</f>
        <v>2000</v>
      </c>
      <c r="G36" s="198">
        <f>C38</f>
        <v>4000</v>
      </c>
      <c r="H36" s="198">
        <f>C39</f>
        <v>44000</v>
      </c>
      <c r="I36" s="198">
        <f>C40</f>
        <v>50000</v>
      </c>
      <c r="J36" s="198">
        <f>C41</f>
        <v>100000</v>
      </c>
      <c r="K36" s="257" t="s">
        <v>32</v>
      </c>
      <c r="L36" s="238"/>
    </row>
    <row r="37" spans="1:12" ht="15.4" x14ac:dyDescent="0.45">
      <c r="A37" s="92"/>
      <c r="B37" t="s">
        <v>51</v>
      </c>
      <c r="C37" s="197">
        <v>2000</v>
      </c>
      <c r="D37" s="197">
        <v>20595</v>
      </c>
      <c r="E37" s="197">
        <v>17876862</v>
      </c>
      <c r="F37" s="197">
        <f>E37</f>
        <v>17876862</v>
      </c>
      <c r="G37" s="197"/>
      <c r="H37" s="197"/>
      <c r="I37" s="197"/>
      <c r="J37" s="197"/>
      <c r="K37" s="197">
        <f>SUM(F37:J37)</f>
        <v>17876862</v>
      </c>
      <c r="L37" s="238"/>
    </row>
    <row r="38" spans="1:12" ht="15.4" x14ac:dyDescent="0.45">
      <c r="A38" s="92"/>
      <c r="B38" t="s">
        <v>52</v>
      </c>
      <c r="C38" s="197">
        <v>4000</v>
      </c>
      <c r="D38" s="197">
        <v>29054</v>
      </c>
      <c r="E38" s="197">
        <v>105196275</v>
      </c>
      <c r="F38" s="197">
        <f>D38*F36</f>
        <v>58108000</v>
      </c>
      <c r="G38" s="197">
        <f>E38-F38</f>
        <v>47088275</v>
      </c>
      <c r="H38" s="197"/>
      <c r="I38" s="197"/>
      <c r="J38" s="197"/>
      <c r="K38" s="197">
        <f t="shared" ref="K38:K41" si="0">SUM(F38:J38)</f>
        <v>105196275</v>
      </c>
      <c r="L38" s="238"/>
    </row>
    <row r="39" spans="1:12" ht="15.4" x14ac:dyDescent="0.45">
      <c r="A39" s="92"/>
      <c r="B39" t="s">
        <v>52</v>
      </c>
      <c r="C39" s="197">
        <v>44000</v>
      </c>
      <c r="D39" s="197">
        <v>9538</v>
      </c>
      <c r="E39" s="197">
        <v>99448423</v>
      </c>
      <c r="F39" s="197">
        <f>D39*F36</f>
        <v>19076000</v>
      </c>
      <c r="G39" s="197">
        <f>D39*G36</f>
        <v>38152000</v>
      </c>
      <c r="H39" s="197">
        <f>E39-F39-G39</f>
        <v>42220423</v>
      </c>
      <c r="I39" s="197"/>
      <c r="J39" s="197"/>
      <c r="K39" s="197">
        <f t="shared" si="0"/>
        <v>99448423</v>
      </c>
      <c r="L39" s="238"/>
    </row>
    <row r="40" spans="1:12" ht="15.4" x14ac:dyDescent="0.45">
      <c r="A40" s="92"/>
      <c r="B40" t="s">
        <v>52</v>
      </c>
      <c r="C40" s="197">
        <v>50000</v>
      </c>
      <c r="D40" s="197">
        <v>88</v>
      </c>
      <c r="E40" s="197">
        <v>6553607</v>
      </c>
      <c r="F40" s="197">
        <f>D40*F36</f>
        <v>176000</v>
      </c>
      <c r="G40" s="197">
        <f>D40*G36</f>
        <v>352000</v>
      </c>
      <c r="H40" s="197">
        <f>D40*H36</f>
        <v>3872000</v>
      </c>
      <c r="I40" s="197">
        <f>E40-F40-G40-H40</f>
        <v>2153607</v>
      </c>
      <c r="J40" s="197"/>
      <c r="K40" s="197">
        <f t="shared" si="0"/>
        <v>6553607</v>
      </c>
      <c r="L40" s="238"/>
    </row>
    <row r="41" spans="1:12" ht="15.4" x14ac:dyDescent="0.45">
      <c r="A41" s="92"/>
      <c r="B41" t="s">
        <v>114</v>
      </c>
      <c r="C41" s="197">
        <v>100000</v>
      </c>
      <c r="D41" s="197">
        <v>64</v>
      </c>
      <c r="E41" s="197">
        <v>8731962</v>
      </c>
      <c r="F41" s="197">
        <f>D41*F36</f>
        <v>128000</v>
      </c>
      <c r="G41" s="197">
        <f>D41*G36</f>
        <v>256000</v>
      </c>
      <c r="H41" s="197">
        <f>H36*D41</f>
        <v>2816000</v>
      </c>
      <c r="I41" s="197">
        <f>I36*D41</f>
        <v>3200000</v>
      </c>
      <c r="J41" s="197">
        <f>E41-F41-G41-H41-I41</f>
        <v>2331962</v>
      </c>
      <c r="K41" s="197">
        <f t="shared" si="0"/>
        <v>8731962</v>
      </c>
      <c r="L41" s="238"/>
    </row>
    <row r="42" spans="1:12" ht="15.4" x14ac:dyDescent="0.45">
      <c r="A42" s="92"/>
      <c r="B42"/>
      <c r="C42" s="197"/>
      <c r="D42" s="197">
        <f>SUM(D37:D41)</f>
        <v>59339</v>
      </c>
      <c r="E42" s="197">
        <f t="shared" ref="E42:J42" si="1">SUM(E37:E41)</f>
        <v>237807129</v>
      </c>
      <c r="F42" s="197">
        <f t="shared" si="1"/>
        <v>95364862</v>
      </c>
      <c r="G42" s="197">
        <f t="shared" si="1"/>
        <v>85848275</v>
      </c>
      <c r="H42" s="197">
        <f t="shared" si="1"/>
        <v>48908423</v>
      </c>
      <c r="I42" s="197">
        <f t="shared" si="1"/>
        <v>5353607</v>
      </c>
      <c r="J42" s="197">
        <f t="shared" si="1"/>
        <v>2331962</v>
      </c>
      <c r="K42" s="197">
        <f>SUM(K37:K41)</f>
        <v>237807129</v>
      </c>
      <c r="L42" s="238"/>
    </row>
    <row r="43" spans="1:12" ht="15.4" x14ac:dyDescent="0.45">
      <c r="A43" s="92"/>
      <c r="B43"/>
      <c r="C43" s="197"/>
      <c r="D43"/>
      <c r="E43" s="138"/>
      <c r="F43"/>
      <c r="G43"/>
      <c r="H43"/>
      <c r="I43"/>
      <c r="J43" s="138"/>
      <c r="K43"/>
      <c r="L43" s="238"/>
    </row>
    <row r="44" spans="1:12" ht="15.4" x14ac:dyDescent="0.45">
      <c r="A44" s="92"/>
      <c r="B44"/>
      <c r="C44" s="197"/>
      <c r="D44"/>
      <c r="E44" s="138"/>
      <c r="F44" s="197"/>
      <c r="G44" s="197"/>
      <c r="H44" s="197"/>
      <c r="I44" s="197"/>
      <c r="J44" s="197"/>
      <c r="K44" s="197"/>
      <c r="L44" s="238"/>
    </row>
    <row r="45" spans="1:12" ht="15.4" x14ac:dyDescent="0.45">
      <c r="A45" s="92"/>
      <c r="B45" t="s">
        <v>51</v>
      </c>
      <c r="C45" s="197">
        <v>2000</v>
      </c>
      <c r="D45" t="s">
        <v>188</v>
      </c>
      <c r="E45" s="197">
        <f>D42</f>
        <v>59339</v>
      </c>
      <c r="F45" s="197">
        <f>F42</f>
        <v>95364862</v>
      </c>
      <c r="G45" s="244">
        <f>'Rates Comp'!L11</f>
        <v>27.33</v>
      </c>
      <c r="H45" t="s">
        <v>241</v>
      </c>
      <c r="I45" s="197">
        <f>ROUND(E45*G45,2)</f>
        <v>1621734.87</v>
      </c>
      <c r="J45" s="197"/>
      <c r="K45" s="197"/>
      <c r="L45" s="238"/>
    </row>
    <row r="46" spans="1:12" ht="15.4" x14ac:dyDescent="0.45">
      <c r="A46" s="92"/>
      <c r="B46" t="s">
        <v>52</v>
      </c>
      <c r="C46" s="197">
        <v>4000</v>
      </c>
      <c r="D46" t="s">
        <v>188</v>
      </c>
      <c r="E46" s="197"/>
      <c r="F46" s="197">
        <f>G42</f>
        <v>85848275</v>
      </c>
      <c r="G46" s="271">
        <f>'Rates Comp'!L12</f>
        <v>7.9100000000000004E-3</v>
      </c>
      <c r="H46" t="s">
        <v>240</v>
      </c>
      <c r="I46" s="197">
        <f>ROUND(F46*G46,2)</f>
        <v>679059.86</v>
      </c>
      <c r="J46" s="197"/>
      <c r="K46" s="197"/>
      <c r="L46" s="238"/>
    </row>
    <row r="47" spans="1:12" ht="15.4" x14ac:dyDescent="0.45">
      <c r="A47" s="92"/>
      <c r="B47" t="s">
        <v>52</v>
      </c>
      <c r="C47" s="197">
        <v>44000</v>
      </c>
      <c r="D47" t="s">
        <v>188</v>
      </c>
      <c r="E47" s="197"/>
      <c r="F47" s="197">
        <f>H42</f>
        <v>48908423</v>
      </c>
      <c r="G47" s="271">
        <f>'Rates Comp'!L13</f>
        <v>7.0200000000000002E-3</v>
      </c>
      <c r="H47" t="s">
        <v>240</v>
      </c>
      <c r="I47" s="197">
        <f t="shared" ref="I47:I49" si="2">ROUND(F47*G47,2)</f>
        <v>343337.13</v>
      </c>
      <c r="J47" s="197"/>
      <c r="K47" s="197"/>
      <c r="L47" s="238"/>
    </row>
    <row r="48" spans="1:12" ht="15.4" x14ac:dyDescent="0.45">
      <c r="A48" s="92"/>
      <c r="B48" t="s">
        <v>52</v>
      </c>
      <c r="C48" s="197">
        <v>50000</v>
      </c>
      <c r="D48" t="s">
        <v>188</v>
      </c>
      <c r="E48" s="197"/>
      <c r="F48" s="197">
        <f>I42</f>
        <v>5353607</v>
      </c>
      <c r="G48" s="271">
        <f>'Rates Comp'!L14</f>
        <v>6.0400000000000002E-3</v>
      </c>
      <c r="H48" t="s">
        <v>240</v>
      </c>
      <c r="I48" s="197">
        <f t="shared" si="2"/>
        <v>32335.79</v>
      </c>
      <c r="J48" s="138"/>
      <c r="K48"/>
      <c r="L48" s="238"/>
    </row>
    <row r="49" spans="1:12" ht="15.4" x14ac:dyDescent="0.45">
      <c r="A49" s="92"/>
      <c r="B49" t="s">
        <v>114</v>
      </c>
      <c r="C49" s="197">
        <f>SUM(C45:C48)</f>
        <v>100000</v>
      </c>
      <c r="D49" t="s">
        <v>188</v>
      </c>
      <c r="E49" s="197"/>
      <c r="F49" s="197">
        <f>J42</f>
        <v>2331962</v>
      </c>
      <c r="G49" s="271">
        <f>'Rates Comp'!L15</f>
        <v>5.0300000000000006E-3</v>
      </c>
      <c r="H49" t="s">
        <v>240</v>
      </c>
      <c r="I49" s="138">
        <f t="shared" si="2"/>
        <v>11729.77</v>
      </c>
      <c r="J49" s="138"/>
      <c r="K49"/>
      <c r="L49" s="238"/>
    </row>
    <row r="50" spans="1:12" ht="15.4" x14ac:dyDescent="0.45">
      <c r="A50" s="92"/>
      <c r="B50" t="s">
        <v>348</v>
      </c>
      <c r="C50" s="197"/>
      <c r="D50"/>
      <c r="E50" s="197">
        <f>SUM(E45:E49)</f>
        <v>59339</v>
      </c>
      <c r="F50" s="197">
        <f>SUM(F45:F49)</f>
        <v>237807129</v>
      </c>
      <c r="G50"/>
      <c r="H50"/>
      <c r="I50" s="138">
        <f>SUM(I45:I49)</f>
        <v>2688197.42</v>
      </c>
      <c r="J50" s="138"/>
      <c r="K50"/>
      <c r="L50" s="238"/>
    </row>
    <row r="51" spans="1:12" ht="15.4" x14ac:dyDescent="0.45">
      <c r="A51" s="92"/>
      <c r="B51" t="s">
        <v>341</v>
      </c>
      <c r="C51" s="197"/>
      <c r="D51"/>
      <c r="E51" s="138"/>
      <c r="F51"/>
      <c r="G51"/>
      <c r="H51"/>
      <c r="I51" s="197">
        <v>-3199.7504399999998</v>
      </c>
      <c r="J51" s="138">
        <v>-862.31615999999997</v>
      </c>
      <c r="K51" s="197">
        <f>SUM(I51:J51)</f>
        <v>-4062.0665999999997</v>
      </c>
      <c r="L51" s="238"/>
    </row>
    <row r="52" spans="1:12" ht="15.4" x14ac:dyDescent="0.45">
      <c r="A52" s="92"/>
      <c r="B52" t="s">
        <v>342</v>
      </c>
      <c r="C52" s="197"/>
      <c r="D52"/>
      <c r="E52" s="138"/>
      <c r="F52"/>
      <c r="G52"/>
      <c r="H52"/>
      <c r="I52" s="197">
        <v>-3820.5899999236572</v>
      </c>
      <c r="J52" s="138"/>
      <c r="K52"/>
      <c r="L52" s="238"/>
    </row>
    <row r="53" spans="1:12" ht="15.4" x14ac:dyDescent="0.45">
      <c r="A53" s="92"/>
      <c r="B53" t="s">
        <v>353</v>
      </c>
      <c r="C53"/>
      <c r="D53"/>
      <c r="E53"/>
      <c r="F53"/>
      <c r="G53"/>
      <c r="H53"/>
      <c r="I53" s="197">
        <f>SUM(I50:I52)</f>
        <v>2681177.0795600764</v>
      </c>
      <c r="J53"/>
      <c r="K53"/>
      <c r="L53" s="238"/>
    </row>
    <row r="54" spans="1:12" ht="15.4" x14ac:dyDescent="0.45">
      <c r="A54" s="92"/>
      <c r="B54" t="s">
        <v>354</v>
      </c>
      <c r="C54"/>
      <c r="D54"/>
      <c r="E54"/>
      <c r="F54"/>
      <c r="G54"/>
      <c r="H54"/>
      <c r="I54" s="197">
        <v>1998006.3832689242</v>
      </c>
      <c r="J54"/>
      <c r="K54"/>
      <c r="L54" s="238"/>
    </row>
    <row r="55" spans="1:12" ht="15.4" x14ac:dyDescent="0.45">
      <c r="A55" s="92"/>
      <c r="B55"/>
      <c r="C55"/>
      <c r="D55"/>
      <c r="E55"/>
      <c r="F55"/>
      <c r="G55"/>
      <c r="H55"/>
      <c r="I55" s="197"/>
      <c r="J55"/>
      <c r="K55"/>
      <c r="L55" s="238"/>
    </row>
    <row r="56" spans="1:12" ht="15.4" x14ac:dyDescent="0.45">
      <c r="A56" s="92"/>
      <c r="B56" t="s">
        <v>349</v>
      </c>
      <c r="C56"/>
      <c r="D56" s="138"/>
      <c r="E56" s="138"/>
      <c r="F56" s="138"/>
      <c r="G56" s="138"/>
      <c r="H56" s="138"/>
      <c r="I56" s="138"/>
      <c r="J56" s="138"/>
      <c r="K56" s="138"/>
      <c r="L56" s="238"/>
    </row>
    <row r="57" spans="1:12" ht="15.4" x14ac:dyDescent="0.45">
      <c r="A57" s="92"/>
      <c r="B57"/>
      <c r="C57" s="197"/>
      <c r="D57" s="257" t="s">
        <v>187</v>
      </c>
      <c r="E57" s="523" t="s">
        <v>188</v>
      </c>
      <c r="F57" s="198">
        <f>C58</f>
        <v>5000</v>
      </c>
      <c r="G57" s="198">
        <f>C59</f>
        <v>1000</v>
      </c>
      <c r="H57" s="198">
        <f>C60</f>
        <v>44000</v>
      </c>
      <c r="I57" s="198">
        <f>C61</f>
        <v>50000</v>
      </c>
      <c r="J57" s="198">
        <f>C62</f>
        <v>100000</v>
      </c>
      <c r="K57" s="257" t="s">
        <v>32</v>
      </c>
      <c r="L57" s="238"/>
    </row>
    <row r="58" spans="1:12" ht="15.4" x14ac:dyDescent="0.45">
      <c r="A58" s="92"/>
      <c r="B58" t="s">
        <v>51</v>
      </c>
      <c r="C58" s="197">
        <v>5000</v>
      </c>
      <c r="D58" s="197">
        <v>341</v>
      </c>
      <c r="E58" s="197">
        <v>790645</v>
      </c>
      <c r="F58" s="197">
        <f>E58</f>
        <v>790645</v>
      </c>
      <c r="G58" s="197"/>
      <c r="H58" s="197"/>
      <c r="I58" s="197"/>
      <c r="J58" s="197"/>
      <c r="K58" s="197">
        <f>SUM(F58:J58)</f>
        <v>790645</v>
      </c>
      <c r="L58" s="238"/>
    </row>
    <row r="59" spans="1:12" ht="15.4" x14ac:dyDescent="0.45">
      <c r="A59" s="92"/>
      <c r="B59" t="s">
        <v>52</v>
      </c>
      <c r="C59" s="197">
        <v>1000</v>
      </c>
      <c r="D59" s="197">
        <v>54</v>
      </c>
      <c r="E59" s="197">
        <v>295341</v>
      </c>
      <c r="F59" s="197">
        <f>D59*F57</f>
        <v>270000</v>
      </c>
      <c r="G59" s="197">
        <f>E59-F59</f>
        <v>25341</v>
      </c>
      <c r="H59" s="197"/>
      <c r="I59" s="197"/>
      <c r="J59" s="197"/>
      <c r="K59" s="197">
        <f t="shared" ref="K59:K62" si="3">SUM(F59:J59)</f>
        <v>295341</v>
      </c>
      <c r="L59" s="238"/>
    </row>
    <row r="60" spans="1:12" ht="15.4" x14ac:dyDescent="0.45">
      <c r="A60" s="92"/>
      <c r="B60" t="s">
        <v>52</v>
      </c>
      <c r="C60" s="197">
        <v>44000</v>
      </c>
      <c r="D60" s="197">
        <v>248</v>
      </c>
      <c r="E60" s="197">
        <v>3636306</v>
      </c>
      <c r="F60" s="197">
        <f>D60*F57</f>
        <v>1240000</v>
      </c>
      <c r="G60" s="197">
        <f>D60*G57</f>
        <v>248000</v>
      </c>
      <c r="H60" s="197">
        <f>E60-F60-G60</f>
        <v>2148306</v>
      </c>
      <c r="I60" s="197"/>
      <c r="J60" s="197"/>
      <c r="K60" s="197">
        <f t="shared" si="3"/>
        <v>3636306</v>
      </c>
      <c r="L60" s="238"/>
    </row>
    <row r="61" spans="1:12" ht="15.4" x14ac:dyDescent="0.45">
      <c r="A61" s="92"/>
      <c r="B61" t="s">
        <v>52</v>
      </c>
      <c r="C61" s="197">
        <v>50000</v>
      </c>
      <c r="D61" s="197">
        <v>54</v>
      </c>
      <c r="E61" s="197">
        <v>3908284</v>
      </c>
      <c r="F61" s="197">
        <f>D61*F57</f>
        <v>270000</v>
      </c>
      <c r="G61" s="197">
        <f>D61*G57</f>
        <v>54000</v>
      </c>
      <c r="H61" s="197">
        <f>D61*H57</f>
        <v>2376000</v>
      </c>
      <c r="I61" s="197">
        <f>E61-F61-G61-H61</f>
        <v>1208284</v>
      </c>
      <c r="J61" s="197"/>
      <c r="K61" s="197">
        <f t="shared" si="3"/>
        <v>3908284</v>
      </c>
      <c r="L61" s="238"/>
    </row>
    <row r="62" spans="1:12" ht="15.4" x14ac:dyDescent="0.45">
      <c r="A62" s="92"/>
      <c r="B62" t="s">
        <v>114</v>
      </c>
      <c r="C62" s="197">
        <f>SUM(C58:C61)</f>
        <v>100000</v>
      </c>
      <c r="D62" s="197">
        <v>44</v>
      </c>
      <c r="E62" s="197">
        <v>7016157</v>
      </c>
      <c r="F62" s="197">
        <f>D62*F57</f>
        <v>220000</v>
      </c>
      <c r="G62" s="197">
        <f>D62*G57</f>
        <v>44000</v>
      </c>
      <c r="H62" s="197">
        <f>H57*D62</f>
        <v>1936000</v>
      </c>
      <c r="I62" s="197">
        <f>I57*D62</f>
        <v>2200000</v>
      </c>
      <c r="J62" s="197">
        <f>E62-F62-G62-H62-I62</f>
        <v>2616157</v>
      </c>
      <c r="K62" s="197">
        <f t="shared" si="3"/>
        <v>7016157</v>
      </c>
      <c r="L62" s="238"/>
    </row>
    <row r="63" spans="1:12" ht="15.4" x14ac:dyDescent="0.45">
      <c r="A63" s="92"/>
      <c r="B63"/>
      <c r="C63" s="197"/>
      <c r="D63" s="197">
        <f>SUM(D58:D62)</f>
        <v>741</v>
      </c>
      <c r="E63" s="197">
        <f t="shared" ref="E63:J63" si="4">SUM(E58:E62)</f>
        <v>15646733</v>
      </c>
      <c r="F63" s="197">
        <f t="shared" si="4"/>
        <v>2790645</v>
      </c>
      <c r="G63" s="197">
        <f t="shared" si="4"/>
        <v>371341</v>
      </c>
      <c r="H63" s="197">
        <f t="shared" si="4"/>
        <v>6460306</v>
      </c>
      <c r="I63" s="197">
        <f t="shared" si="4"/>
        <v>3408284</v>
      </c>
      <c r="J63" s="197">
        <f t="shared" si="4"/>
        <v>2616157</v>
      </c>
      <c r="K63" s="197">
        <f>SUM(K58:K62)</f>
        <v>15646733</v>
      </c>
      <c r="L63" s="238"/>
    </row>
    <row r="64" spans="1:12" ht="15.4" x14ac:dyDescent="0.45">
      <c r="A64" s="92"/>
      <c r="B64"/>
      <c r="C64" s="197"/>
      <c r="D64"/>
      <c r="E64" s="138"/>
      <c r="F64"/>
      <c r="G64"/>
      <c r="H64"/>
      <c r="I64"/>
      <c r="J64" s="138"/>
      <c r="K64"/>
      <c r="L64" s="238"/>
    </row>
    <row r="65" spans="1:12" ht="15.4" x14ac:dyDescent="0.45">
      <c r="A65" s="92"/>
      <c r="B65" t="s">
        <v>51</v>
      </c>
      <c r="C65" s="197">
        <v>2000</v>
      </c>
      <c r="D65" t="s">
        <v>188</v>
      </c>
      <c r="E65" s="197">
        <f>D63</f>
        <v>741</v>
      </c>
      <c r="F65" s="197">
        <f>F63</f>
        <v>2790645</v>
      </c>
      <c r="G65" s="244">
        <f>'Rates Comp'!L18</f>
        <v>51.89</v>
      </c>
      <c r="H65" t="s">
        <v>241</v>
      </c>
      <c r="I65" s="197">
        <f>ROUND(E65*G65,2)</f>
        <v>38450.49</v>
      </c>
      <c r="J65" s="197"/>
      <c r="K65"/>
      <c r="L65" s="238"/>
    </row>
    <row r="66" spans="1:12" ht="15.4" x14ac:dyDescent="0.45">
      <c r="A66" s="92"/>
      <c r="B66" t="s">
        <v>52</v>
      </c>
      <c r="C66" s="197">
        <v>4000</v>
      </c>
      <c r="D66" t="s">
        <v>188</v>
      </c>
      <c r="E66" s="197"/>
      <c r="F66" s="197">
        <f>G63</f>
        <v>371341</v>
      </c>
      <c r="G66" s="271">
        <f>'Rates Comp'!L19</f>
        <v>7.9100000000000004E-3</v>
      </c>
      <c r="H66" t="s">
        <v>240</v>
      </c>
      <c r="I66" s="197">
        <f>ROUND(F66*G66,2)</f>
        <v>2937.31</v>
      </c>
      <c r="J66" s="197"/>
      <c r="K66" s="197"/>
      <c r="L66" s="238"/>
    </row>
    <row r="67" spans="1:12" ht="15.4" x14ac:dyDescent="0.45">
      <c r="A67" s="92"/>
      <c r="B67" t="s">
        <v>52</v>
      </c>
      <c r="C67" s="197">
        <v>44000</v>
      </c>
      <c r="D67" t="s">
        <v>188</v>
      </c>
      <c r="E67" s="197"/>
      <c r="F67" s="197">
        <f>H63</f>
        <v>6460306</v>
      </c>
      <c r="G67" s="271">
        <f>'Rates Comp'!L20</f>
        <v>7.0200000000000002E-3</v>
      </c>
      <c r="H67" t="s">
        <v>240</v>
      </c>
      <c r="I67" s="197">
        <f t="shared" ref="I67:I69" si="5">ROUND(F67*G67,2)</f>
        <v>45351.35</v>
      </c>
      <c r="J67" s="197"/>
      <c r="K67" s="197"/>
      <c r="L67" s="238"/>
    </row>
    <row r="68" spans="1:12" ht="15.4" x14ac:dyDescent="0.45">
      <c r="A68" s="92"/>
      <c r="B68" t="s">
        <v>52</v>
      </c>
      <c r="C68" s="197">
        <v>50000</v>
      </c>
      <c r="D68" t="s">
        <v>188</v>
      </c>
      <c r="E68" s="197"/>
      <c r="F68" s="197">
        <f>I63</f>
        <v>3408284</v>
      </c>
      <c r="G68" s="271">
        <f>'Rates Comp'!L21</f>
        <v>6.0400000000000002E-3</v>
      </c>
      <c r="H68" t="s">
        <v>240</v>
      </c>
      <c r="I68" s="197">
        <f t="shared" si="5"/>
        <v>20586.04</v>
      </c>
      <c r="J68" s="197"/>
      <c r="K68" s="197"/>
      <c r="L68" s="238"/>
    </row>
    <row r="69" spans="1:12" ht="15.4" x14ac:dyDescent="0.45">
      <c r="A69" s="92"/>
      <c r="B69" t="s">
        <v>114</v>
      </c>
      <c r="C69" s="197">
        <f>SUM(C65:C68)</f>
        <v>100000</v>
      </c>
      <c r="D69" t="s">
        <v>188</v>
      </c>
      <c r="E69" s="197"/>
      <c r="F69" s="197">
        <f>J63</f>
        <v>2616157</v>
      </c>
      <c r="G69" s="271">
        <f>'Rates Comp'!L22</f>
        <v>5.0300000000000006E-3</v>
      </c>
      <c r="H69" t="s">
        <v>240</v>
      </c>
      <c r="I69" s="138">
        <f t="shared" si="5"/>
        <v>13159.27</v>
      </c>
      <c r="J69" s="197"/>
      <c r="K69" s="197"/>
      <c r="L69" s="238"/>
    </row>
    <row r="70" spans="1:12" ht="15.4" x14ac:dyDescent="0.45">
      <c r="A70" s="92"/>
      <c r="B70" t="s">
        <v>348</v>
      </c>
      <c r="C70" s="197"/>
      <c r="D70"/>
      <c r="E70" s="197">
        <f>SUM(E65:E69)</f>
        <v>741</v>
      </c>
      <c r="F70" s="197">
        <f>SUM(F65:F69)</f>
        <v>15646733</v>
      </c>
      <c r="G70"/>
      <c r="H70"/>
      <c r="I70" s="138">
        <f>SUM(I65:I69)</f>
        <v>120484.46</v>
      </c>
      <c r="J70" s="197"/>
      <c r="K70" s="197"/>
      <c r="L70" s="238"/>
    </row>
    <row r="71" spans="1:12" ht="15.4" x14ac:dyDescent="0.45">
      <c r="A71" s="92"/>
      <c r="B71"/>
      <c r="C71"/>
      <c r="D71" s="138"/>
      <c r="E71" s="138"/>
      <c r="F71" s="138"/>
      <c r="G71" s="138"/>
      <c r="H71" s="138"/>
      <c r="I71" s="138"/>
      <c r="J71" s="138"/>
      <c r="K71" s="138"/>
      <c r="L71" s="238"/>
    </row>
    <row r="72" spans="1:12" ht="15.4" x14ac:dyDescent="0.45">
      <c r="A72" s="92"/>
      <c r="B72" t="s">
        <v>350</v>
      </c>
      <c r="C72"/>
      <c r="D72" s="138"/>
      <c r="E72" s="138"/>
      <c r="F72" s="138"/>
      <c r="G72" s="138"/>
      <c r="H72" s="138"/>
      <c r="I72" s="138"/>
      <c r="J72" s="138"/>
      <c r="K72" s="138"/>
      <c r="L72" s="238"/>
    </row>
    <row r="73" spans="1:12" ht="15.4" x14ac:dyDescent="0.45">
      <c r="A73" s="92"/>
      <c r="B73"/>
      <c r="C73" s="197"/>
      <c r="D73" s="257" t="s">
        <v>187</v>
      </c>
      <c r="E73" s="523" t="s">
        <v>188</v>
      </c>
      <c r="F73" s="198">
        <f>C74</f>
        <v>10000</v>
      </c>
      <c r="G73" s="198">
        <f>C75</f>
        <v>40000</v>
      </c>
      <c r="H73" s="198">
        <f>C76</f>
        <v>50000</v>
      </c>
      <c r="I73" s="198">
        <f>C77</f>
        <v>100000</v>
      </c>
      <c r="J73" s="257" t="s">
        <v>32</v>
      </c>
      <c r="K73" s="138"/>
      <c r="L73" s="238"/>
    </row>
    <row r="74" spans="1:12" ht="15.4" x14ac:dyDescent="0.45">
      <c r="A74" s="92"/>
      <c r="B74" t="s">
        <v>51</v>
      </c>
      <c r="C74" s="197">
        <v>10000</v>
      </c>
      <c r="D74" s="197">
        <v>3</v>
      </c>
      <c r="E74" s="197">
        <v>22341</v>
      </c>
      <c r="F74" s="197">
        <f>E74</f>
        <v>22341</v>
      </c>
      <c r="G74" s="197"/>
      <c r="H74" s="197"/>
      <c r="I74" s="197"/>
      <c r="J74" s="197">
        <f>SUM(F74:I74)</f>
        <v>22341</v>
      </c>
      <c r="K74" s="138"/>
      <c r="L74" s="238"/>
    </row>
    <row r="75" spans="1:12" ht="15.4" x14ac:dyDescent="0.45">
      <c r="A75" s="92"/>
      <c r="B75" t="s">
        <v>52</v>
      </c>
      <c r="C75" s="197">
        <v>40000</v>
      </c>
      <c r="D75" s="197">
        <v>21</v>
      </c>
      <c r="E75" s="197">
        <v>518243</v>
      </c>
      <c r="F75" s="197">
        <f>D75*F73</f>
        <v>210000</v>
      </c>
      <c r="G75" s="197">
        <f>E75-F75</f>
        <v>308243</v>
      </c>
      <c r="H75" s="197"/>
      <c r="I75" s="197"/>
      <c r="J75" s="197">
        <f>SUM(F75:I75)</f>
        <v>518243</v>
      </c>
      <c r="K75" s="138"/>
      <c r="L75" s="238"/>
    </row>
    <row r="76" spans="1:12" ht="15.4" x14ac:dyDescent="0.45">
      <c r="A76" s="92"/>
      <c r="B76" t="s">
        <v>52</v>
      </c>
      <c r="C76" s="197">
        <v>50000</v>
      </c>
      <c r="D76" s="197">
        <v>3</v>
      </c>
      <c r="E76" s="197">
        <v>255307</v>
      </c>
      <c r="F76" s="197">
        <f>D76*F73</f>
        <v>30000</v>
      </c>
      <c r="G76" s="197">
        <f>D76*G73</f>
        <v>120000</v>
      </c>
      <c r="H76" s="197">
        <f>E76-F76-G76</f>
        <v>105307</v>
      </c>
      <c r="I76" s="197"/>
      <c r="J76" s="197">
        <f>SUM(F76:I76)</f>
        <v>255307</v>
      </c>
      <c r="K76" s="138"/>
      <c r="L76" s="238"/>
    </row>
    <row r="77" spans="1:12" ht="15.4" x14ac:dyDescent="0.45">
      <c r="A77" s="92"/>
      <c r="B77" t="s">
        <v>52</v>
      </c>
      <c r="C77" s="197">
        <f>SUM(C74:C76)</f>
        <v>100000</v>
      </c>
      <c r="D77" s="197">
        <v>23</v>
      </c>
      <c r="E77" s="197">
        <v>9866500</v>
      </c>
      <c r="F77" s="197">
        <f>D77*F73</f>
        <v>230000</v>
      </c>
      <c r="G77" s="197">
        <f>G73*D77</f>
        <v>920000</v>
      </c>
      <c r="H77" s="197">
        <f>H73*D77</f>
        <v>1150000</v>
      </c>
      <c r="I77" s="197">
        <f>E77-F77-G77-H77</f>
        <v>7566500</v>
      </c>
      <c r="J77" s="197">
        <f>SUM(F77:I77)</f>
        <v>9866500</v>
      </c>
      <c r="K77" s="138"/>
      <c r="L77" s="238"/>
    </row>
    <row r="78" spans="1:12" ht="15.4" x14ac:dyDescent="0.45">
      <c r="A78" s="92"/>
      <c r="B78"/>
      <c r="C78" s="197"/>
      <c r="D78" s="197">
        <f t="shared" ref="D78:J78" si="6">SUM(D74:D77)</f>
        <v>50</v>
      </c>
      <c r="E78" s="197">
        <f t="shared" si="6"/>
        <v>10662391</v>
      </c>
      <c r="F78" s="197">
        <f t="shared" si="6"/>
        <v>492341</v>
      </c>
      <c r="G78" s="197">
        <f t="shared" si="6"/>
        <v>1348243</v>
      </c>
      <c r="H78" s="197">
        <f t="shared" si="6"/>
        <v>1255307</v>
      </c>
      <c r="I78" s="197">
        <f t="shared" si="6"/>
        <v>7566500</v>
      </c>
      <c r="J78" s="197">
        <f t="shared" si="6"/>
        <v>10662391</v>
      </c>
      <c r="K78" s="138"/>
      <c r="L78" s="238"/>
    </row>
    <row r="79" spans="1:12" ht="15.4" x14ac:dyDescent="0.45">
      <c r="A79" s="92"/>
      <c r="B79"/>
      <c r="C79" s="197"/>
      <c r="D79"/>
      <c r="E79" s="138"/>
      <c r="F79"/>
      <c r="G79"/>
      <c r="H79"/>
      <c r="I79"/>
      <c r="J79" s="138"/>
      <c r="K79" s="138"/>
      <c r="L79" s="238"/>
    </row>
    <row r="80" spans="1:12" ht="15.4" x14ac:dyDescent="0.45">
      <c r="A80" s="92"/>
      <c r="B80"/>
      <c r="C80"/>
      <c r="D80"/>
      <c r="E80"/>
      <c r="F80"/>
      <c r="G80"/>
      <c r="H80"/>
      <c r="I80"/>
      <c r="J80"/>
      <c r="K80" s="138"/>
      <c r="L80" s="238"/>
    </row>
    <row r="81" spans="1:12" ht="15.4" x14ac:dyDescent="0.45">
      <c r="A81" s="92"/>
      <c r="B81" t="s">
        <v>51</v>
      </c>
      <c r="C81" s="197">
        <v>10000</v>
      </c>
      <c r="D81" t="s">
        <v>188</v>
      </c>
      <c r="E81" s="197">
        <f>D78</f>
        <v>50</v>
      </c>
      <c r="F81" s="197">
        <f>F78</f>
        <v>492341</v>
      </c>
      <c r="G81" s="244">
        <f>'Rates Comp'!L25</f>
        <v>92.71</v>
      </c>
      <c r="H81" t="s">
        <v>241</v>
      </c>
      <c r="I81" s="197">
        <f>ROUND(E81*G81,2)</f>
        <v>4635.5</v>
      </c>
      <c r="J81" s="197"/>
      <c r="K81" s="138"/>
      <c r="L81" s="238"/>
    </row>
    <row r="82" spans="1:12" ht="15.4" x14ac:dyDescent="0.45">
      <c r="A82" s="92"/>
      <c r="B82" t="s">
        <v>52</v>
      </c>
      <c r="C82" s="197">
        <v>40000</v>
      </c>
      <c r="D82" t="s">
        <v>188</v>
      </c>
      <c r="E82" s="197"/>
      <c r="F82" s="197">
        <f>G78</f>
        <v>1348243</v>
      </c>
      <c r="G82" s="271">
        <f>'Rates Comp'!L26</f>
        <v>7.0200000000000002E-3</v>
      </c>
      <c r="H82" t="s">
        <v>240</v>
      </c>
      <c r="I82" s="197">
        <f t="shared" ref="I82:I84" si="7">ROUND(F82*G82,2)</f>
        <v>9464.67</v>
      </c>
      <c r="J82" s="197"/>
      <c r="K82" s="138"/>
      <c r="L82" s="238"/>
    </row>
    <row r="83" spans="1:12" ht="15.4" x14ac:dyDescent="0.45">
      <c r="A83" s="92"/>
      <c r="B83" t="s">
        <v>52</v>
      </c>
      <c r="C83" s="197">
        <v>50000</v>
      </c>
      <c r="D83" t="s">
        <v>188</v>
      </c>
      <c r="E83" s="197"/>
      <c r="F83" s="197">
        <f>H78</f>
        <v>1255307</v>
      </c>
      <c r="G83" s="271">
        <f>'Rates Comp'!L27</f>
        <v>6.0400000000000002E-3</v>
      </c>
      <c r="H83" t="s">
        <v>240</v>
      </c>
      <c r="I83" s="197">
        <f t="shared" si="7"/>
        <v>7582.05</v>
      </c>
      <c r="J83" s="197"/>
      <c r="K83" s="138"/>
      <c r="L83" s="238"/>
    </row>
    <row r="84" spans="1:12" ht="15.4" x14ac:dyDescent="0.45">
      <c r="A84" s="92"/>
      <c r="B84" t="s">
        <v>114</v>
      </c>
      <c r="C84" s="197">
        <f>SUM(C81:C83)</f>
        <v>100000</v>
      </c>
      <c r="D84" t="s">
        <v>188</v>
      </c>
      <c r="E84" s="197"/>
      <c r="F84" s="197">
        <f>I78</f>
        <v>7566500</v>
      </c>
      <c r="G84" s="271">
        <f>'Rates Comp'!L28</f>
        <v>5.0300000000000006E-3</v>
      </c>
      <c r="H84" t="s">
        <v>240</v>
      </c>
      <c r="I84" s="197">
        <f t="shared" si="7"/>
        <v>38059.5</v>
      </c>
      <c r="J84" s="197"/>
      <c r="K84" s="138"/>
      <c r="L84" s="238"/>
    </row>
    <row r="85" spans="1:12" ht="15.4" x14ac:dyDescent="0.45">
      <c r="A85" s="92"/>
      <c r="B85" t="s">
        <v>348</v>
      </c>
      <c r="C85" s="197"/>
      <c r="D85"/>
      <c r="E85" s="197">
        <f>SUM(E81:E84)</f>
        <v>50</v>
      </c>
      <c r="F85" s="197">
        <f>SUM(F81:F84)</f>
        <v>10662391</v>
      </c>
      <c r="G85"/>
      <c r="H85"/>
      <c r="I85" s="138">
        <f>SUM(I81:I84)</f>
        <v>59741.72</v>
      </c>
      <c r="J85" s="197"/>
      <c r="K85" s="138"/>
      <c r="L85" s="238"/>
    </row>
    <row r="86" spans="1:12" ht="15.4" x14ac:dyDescent="0.45">
      <c r="A86" s="92"/>
      <c r="B86"/>
      <c r="C86" s="197"/>
      <c r="D86"/>
      <c r="E86" s="197"/>
      <c r="F86" s="197"/>
      <c r="G86"/>
      <c r="H86"/>
      <c r="I86" s="138"/>
      <c r="J86" s="197"/>
      <c r="K86" s="138"/>
      <c r="L86" s="238"/>
    </row>
    <row r="87" spans="1:12" ht="15.4" x14ac:dyDescent="0.45">
      <c r="A87" s="92"/>
      <c r="B87" t="s">
        <v>336</v>
      </c>
      <c r="C87"/>
      <c r="D87" s="138"/>
      <c r="E87" s="138"/>
      <c r="F87" s="138"/>
      <c r="G87" s="138"/>
      <c r="H87" s="138"/>
      <c r="I87" s="138"/>
      <c r="J87" s="138"/>
      <c r="K87" s="138"/>
      <c r="L87" s="238"/>
    </row>
    <row r="88" spans="1:12" ht="15.4" x14ac:dyDescent="0.45">
      <c r="A88" s="92"/>
      <c r="B88"/>
      <c r="C88" s="197"/>
      <c r="D88" s="257" t="s">
        <v>187</v>
      </c>
      <c r="E88" s="523" t="s">
        <v>188</v>
      </c>
      <c r="F88" s="198">
        <f>C89</f>
        <v>16000</v>
      </c>
      <c r="G88" s="198">
        <f>C90</f>
        <v>34000</v>
      </c>
      <c r="H88" s="198">
        <f>C91</f>
        <v>50000</v>
      </c>
      <c r="I88" s="198">
        <f>C92</f>
        <v>100000</v>
      </c>
      <c r="J88" s="257" t="s">
        <v>32</v>
      </c>
      <c r="K88" s="138"/>
      <c r="L88" s="238"/>
    </row>
    <row r="89" spans="1:12" ht="15.4" x14ac:dyDescent="0.45">
      <c r="A89" s="92"/>
      <c r="B89" t="s">
        <v>51</v>
      </c>
      <c r="C89" s="197">
        <v>16000</v>
      </c>
      <c r="D89" s="197">
        <v>18</v>
      </c>
      <c r="E89" s="197">
        <v>93348</v>
      </c>
      <c r="F89" s="197">
        <f>E89</f>
        <v>93348</v>
      </c>
      <c r="G89" s="197"/>
      <c r="H89" s="197"/>
      <c r="I89" s="197"/>
      <c r="J89" s="197">
        <f>SUM(F89:I89)</f>
        <v>93348</v>
      </c>
      <c r="K89" s="138"/>
      <c r="L89" s="238"/>
    </row>
    <row r="90" spans="1:12" ht="15.4" x14ac:dyDescent="0.45">
      <c r="A90" s="92"/>
      <c r="B90" t="s">
        <v>52</v>
      </c>
      <c r="C90" s="197">
        <v>34000</v>
      </c>
      <c r="D90" s="197">
        <v>17</v>
      </c>
      <c r="E90" s="197">
        <v>510798</v>
      </c>
      <c r="F90" s="197">
        <f>D90*F88</f>
        <v>272000</v>
      </c>
      <c r="G90" s="197">
        <f>E90-F90</f>
        <v>238798</v>
      </c>
      <c r="H90" s="197"/>
      <c r="I90" s="197"/>
      <c r="J90" s="197">
        <f>SUM(F90:I90)</f>
        <v>510798</v>
      </c>
      <c r="K90" s="138"/>
      <c r="L90" s="238"/>
    </row>
    <row r="91" spans="1:12" ht="15.4" x14ac:dyDescent="0.45">
      <c r="A91" s="92"/>
      <c r="B91" t="s">
        <v>52</v>
      </c>
      <c r="C91" s="197">
        <v>50000</v>
      </c>
      <c r="D91" s="197">
        <v>33</v>
      </c>
      <c r="E91" s="197">
        <v>2074154</v>
      </c>
      <c r="F91" s="197">
        <f>D91*F88</f>
        <v>528000</v>
      </c>
      <c r="G91" s="197">
        <f>D91*G88</f>
        <v>1122000</v>
      </c>
      <c r="H91" s="197">
        <f>E91-F91-G91</f>
        <v>424154</v>
      </c>
      <c r="I91" s="197"/>
      <c r="J91" s="197">
        <f>SUM(F91:I91)</f>
        <v>2074154</v>
      </c>
      <c r="K91" s="138"/>
      <c r="L91" s="238"/>
    </row>
    <row r="92" spans="1:12" ht="15.4" x14ac:dyDescent="0.45">
      <c r="A92" s="92"/>
      <c r="B92" t="s">
        <v>52</v>
      </c>
      <c r="C92" s="197">
        <f>SUM(C89:C91)</f>
        <v>100000</v>
      </c>
      <c r="D92" s="197">
        <v>4</v>
      </c>
      <c r="E92" s="197">
        <v>517789</v>
      </c>
      <c r="F92" s="197">
        <f>D92*F88</f>
        <v>64000</v>
      </c>
      <c r="G92" s="197">
        <f>G88*D92</f>
        <v>136000</v>
      </c>
      <c r="H92" s="197">
        <f>H88*D92</f>
        <v>200000</v>
      </c>
      <c r="I92" s="197">
        <f>E92-F92-G92-H92</f>
        <v>117789</v>
      </c>
      <c r="J92" s="197">
        <f>SUM(F92:I92)</f>
        <v>517789</v>
      </c>
      <c r="K92" s="138"/>
      <c r="L92" s="238"/>
    </row>
    <row r="93" spans="1:12" ht="15.4" x14ac:dyDescent="0.45">
      <c r="A93" s="92"/>
      <c r="B93"/>
      <c r="C93" s="197"/>
      <c r="D93" s="197">
        <f t="shared" ref="D93:J93" si="8">SUM(D89:D92)</f>
        <v>72</v>
      </c>
      <c r="E93" s="197">
        <f t="shared" si="8"/>
        <v>3196089</v>
      </c>
      <c r="F93" s="197">
        <f t="shared" si="8"/>
        <v>957348</v>
      </c>
      <c r="G93" s="197">
        <f t="shared" si="8"/>
        <v>1496798</v>
      </c>
      <c r="H93" s="197">
        <f t="shared" si="8"/>
        <v>624154</v>
      </c>
      <c r="I93" s="197">
        <f t="shared" si="8"/>
        <v>117789</v>
      </c>
      <c r="J93" s="197">
        <f t="shared" si="8"/>
        <v>3196089</v>
      </c>
      <c r="K93" s="138"/>
      <c r="L93" s="238"/>
    </row>
    <row r="94" spans="1:12" ht="15.4" x14ac:dyDescent="0.45">
      <c r="A94" s="92"/>
      <c r="B94"/>
      <c r="C94" s="197"/>
      <c r="D94"/>
      <c r="E94" s="138"/>
      <c r="F94"/>
      <c r="G94"/>
      <c r="H94"/>
      <c r="I94"/>
      <c r="J94" s="138"/>
      <c r="K94" s="138"/>
      <c r="L94" s="238"/>
    </row>
    <row r="95" spans="1:12" ht="15.4" x14ac:dyDescent="0.45">
      <c r="A95" s="92"/>
      <c r="B95"/>
      <c r="C95"/>
      <c r="D95"/>
      <c r="E95"/>
      <c r="F95"/>
      <c r="G95"/>
      <c r="H95"/>
      <c r="I95"/>
      <c r="J95"/>
      <c r="K95" s="138"/>
      <c r="L95" s="238"/>
    </row>
    <row r="96" spans="1:12" ht="15.4" x14ac:dyDescent="0.45">
      <c r="A96" s="92"/>
      <c r="B96" t="s">
        <v>51</v>
      </c>
      <c r="C96" s="197">
        <v>16000</v>
      </c>
      <c r="D96" t="s">
        <v>188</v>
      </c>
      <c r="E96" s="197">
        <f>D93</f>
        <v>72</v>
      </c>
      <c r="F96" s="197">
        <f>F93</f>
        <v>957348</v>
      </c>
      <c r="G96" s="244">
        <f>'Rates Comp'!L31</f>
        <v>136.09</v>
      </c>
      <c r="H96" t="s">
        <v>241</v>
      </c>
      <c r="I96" s="197">
        <f>ROUND(E96*G96,2)</f>
        <v>9798.48</v>
      </c>
      <c r="J96" s="197"/>
      <c r="K96" s="138"/>
      <c r="L96" s="238"/>
    </row>
    <row r="97" spans="1:12" ht="15.4" x14ac:dyDescent="0.45">
      <c r="A97" s="92"/>
      <c r="B97" t="s">
        <v>52</v>
      </c>
      <c r="C97" s="197">
        <v>34000</v>
      </c>
      <c r="D97" t="s">
        <v>188</v>
      </c>
      <c r="E97" s="197"/>
      <c r="F97" s="197">
        <f>G93</f>
        <v>1496798</v>
      </c>
      <c r="G97" s="271">
        <f>'Rates Comp'!L32</f>
        <v>7.0200000000000002E-3</v>
      </c>
      <c r="H97" t="s">
        <v>240</v>
      </c>
      <c r="I97" s="197">
        <f t="shared" ref="I97:I99" si="9">ROUND(F97*G97,2)</f>
        <v>10507.52</v>
      </c>
      <c r="J97" s="197"/>
      <c r="K97" s="138"/>
      <c r="L97" s="238"/>
    </row>
    <row r="98" spans="1:12" ht="15.4" x14ac:dyDescent="0.45">
      <c r="A98" s="92"/>
      <c r="B98" t="s">
        <v>52</v>
      </c>
      <c r="C98" s="197">
        <v>50000</v>
      </c>
      <c r="D98" t="s">
        <v>188</v>
      </c>
      <c r="E98" s="197"/>
      <c r="F98" s="197">
        <f>H93</f>
        <v>624154</v>
      </c>
      <c r="G98" s="271">
        <f>'Rates Comp'!L33</f>
        <v>6.0400000000000002E-3</v>
      </c>
      <c r="H98" t="s">
        <v>240</v>
      </c>
      <c r="I98" s="197">
        <f t="shared" si="9"/>
        <v>3769.89</v>
      </c>
      <c r="J98" s="197"/>
      <c r="K98" s="138"/>
      <c r="L98" s="238"/>
    </row>
    <row r="99" spans="1:12" ht="15.4" x14ac:dyDescent="0.45">
      <c r="A99" s="92"/>
      <c r="B99" t="s">
        <v>114</v>
      </c>
      <c r="C99" s="197">
        <f>SUM(C96:C98)</f>
        <v>100000</v>
      </c>
      <c r="D99" t="s">
        <v>188</v>
      </c>
      <c r="E99" s="197"/>
      <c r="F99" s="197">
        <f>I93</f>
        <v>117789</v>
      </c>
      <c r="G99" s="271">
        <f>'Rates Comp'!L34</f>
        <v>5.0300000000000006E-3</v>
      </c>
      <c r="H99" t="s">
        <v>240</v>
      </c>
      <c r="I99" s="197">
        <f t="shared" si="9"/>
        <v>592.48</v>
      </c>
      <c r="J99" s="197"/>
      <c r="K99" s="138"/>
      <c r="L99" s="238"/>
    </row>
    <row r="100" spans="1:12" ht="15.4" x14ac:dyDescent="0.45">
      <c r="A100" s="92"/>
      <c r="B100" t="s">
        <v>348</v>
      </c>
      <c r="C100" s="197"/>
      <c r="D100"/>
      <c r="E100" s="197">
        <f>SUM(E96:E99)</f>
        <v>72</v>
      </c>
      <c r="F100" s="197">
        <f>SUM(F96:F99)</f>
        <v>3196089</v>
      </c>
      <c r="G100"/>
      <c r="H100"/>
      <c r="I100" s="138">
        <f>SUM(I96:I99)</f>
        <v>24668.37</v>
      </c>
      <c r="J100" s="197"/>
      <c r="K100" s="138"/>
      <c r="L100" s="238"/>
    </row>
    <row r="101" spans="1:12" ht="15.4" x14ac:dyDescent="0.45">
      <c r="A101" s="92"/>
      <c r="B101"/>
      <c r="C101" s="197"/>
      <c r="D101"/>
      <c r="E101" s="197"/>
      <c r="F101" s="197"/>
      <c r="G101"/>
      <c r="H101"/>
      <c r="I101" s="197"/>
      <c r="J101" s="197"/>
      <c r="K101" s="138"/>
      <c r="L101" s="238"/>
    </row>
    <row r="102" spans="1:12" ht="15.4" x14ac:dyDescent="0.45">
      <c r="A102" s="92"/>
      <c r="B102" t="s">
        <v>338</v>
      </c>
      <c r="C102"/>
      <c r="D102" s="138"/>
      <c r="E102" s="138"/>
      <c r="F102" s="138"/>
      <c r="G102" s="138"/>
      <c r="H102" s="138"/>
      <c r="I102" s="138"/>
      <c r="J102" s="138"/>
      <c r="K102" s="138"/>
      <c r="L102" s="238"/>
    </row>
    <row r="103" spans="1:12" ht="15.4" x14ac:dyDescent="0.45">
      <c r="A103" s="92"/>
      <c r="B103"/>
      <c r="C103" s="197"/>
      <c r="D103" s="257" t="s">
        <v>187</v>
      </c>
      <c r="E103" s="523" t="s">
        <v>188</v>
      </c>
      <c r="F103" s="198">
        <v>30000</v>
      </c>
      <c r="G103" s="198">
        <v>20000</v>
      </c>
      <c r="H103" s="198">
        <f>C106</f>
        <v>50000</v>
      </c>
      <c r="I103" s="198">
        <f>C107</f>
        <v>100000</v>
      </c>
      <c r="J103" s="257" t="s">
        <v>32</v>
      </c>
      <c r="K103" s="138"/>
      <c r="L103" s="238"/>
    </row>
    <row r="104" spans="1:12" ht="15.4" x14ac:dyDescent="0.45">
      <c r="A104" s="92"/>
      <c r="B104" t="s">
        <v>51</v>
      </c>
      <c r="C104" s="197">
        <v>20000</v>
      </c>
      <c r="D104" s="197">
        <v>2</v>
      </c>
      <c r="E104" s="197">
        <v>17069</v>
      </c>
      <c r="F104" s="197">
        <f>E104</f>
        <v>17069</v>
      </c>
      <c r="G104" s="197"/>
      <c r="H104" s="197"/>
      <c r="I104" s="197"/>
      <c r="J104" s="197">
        <f>SUM(F104:I104)</f>
        <v>17069</v>
      </c>
      <c r="K104" s="138"/>
      <c r="L104" s="238"/>
    </row>
    <row r="105" spans="1:12" ht="15.4" x14ac:dyDescent="0.45">
      <c r="A105" s="92"/>
      <c r="B105" t="s">
        <v>52</v>
      </c>
      <c r="C105" s="197">
        <v>30000</v>
      </c>
      <c r="D105" s="197">
        <v>2</v>
      </c>
      <c r="E105" s="197">
        <v>75910</v>
      </c>
      <c r="F105" s="197">
        <f>D105*F103</f>
        <v>60000</v>
      </c>
      <c r="G105" s="197">
        <f>E105-F105</f>
        <v>15910</v>
      </c>
      <c r="H105" s="197"/>
      <c r="I105" s="197"/>
      <c r="J105" s="197">
        <f>SUM(F105:I105)</f>
        <v>75910</v>
      </c>
      <c r="K105" s="138"/>
      <c r="L105" s="238"/>
    </row>
    <row r="106" spans="1:12" ht="15.4" x14ac:dyDescent="0.45">
      <c r="A106" s="92"/>
      <c r="B106" t="s">
        <v>52</v>
      </c>
      <c r="C106" s="197">
        <v>50000</v>
      </c>
      <c r="D106" s="197">
        <v>3</v>
      </c>
      <c r="E106" s="197">
        <v>192561</v>
      </c>
      <c r="F106" s="197">
        <f>D106*F103</f>
        <v>90000</v>
      </c>
      <c r="G106" s="197">
        <f>D106*G103</f>
        <v>60000</v>
      </c>
      <c r="H106" s="197">
        <f>E106-F106-G106</f>
        <v>42561</v>
      </c>
      <c r="I106" s="197"/>
      <c r="J106" s="197">
        <f>SUM(F106:I106)</f>
        <v>192561</v>
      </c>
      <c r="K106" s="138"/>
      <c r="L106" s="238"/>
    </row>
    <row r="107" spans="1:12" ht="15.4" x14ac:dyDescent="0.45">
      <c r="A107" s="92"/>
      <c r="B107" t="s">
        <v>52</v>
      </c>
      <c r="C107" s="197">
        <f>SUM(C104:C106)</f>
        <v>100000</v>
      </c>
      <c r="D107" s="197">
        <v>5</v>
      </c>
      <c r="E107" s="197">
        <v>678619</v>
      </c>
      <c r="F107" s="197">
        <f>D107*F103</f>
        <v>150000</v>
      </c>
      <c r="G107" s="197">
        <f>G103*D107</f>
        <v>100000</v>
      </c>
      <c r="H107" s="197">
        <f>H103*D107</f>
        <v>250000</v>
      </c>
      <c r="I107" s="197">
        <f>E107-F107-G107-H107</f>
        <v>178619</v>
      </c>
      <c r="J107" s="197">
        <f>SUM(F107:I107)</f>
        <v>678619</v>
      </c>
      <c r="K107" s="138"/>
      <c r="L107" s="238"/>
    </row>
    <row r="108" spans="1:12" ht="15.4" x14ac:dyDescent="0.45">
      <c r="A108" s="92"/>
      <c r="B108"/>
      <c r="C108" s="197"/>
      <c r="D108" s="197">
        <f t="shared" ref="D108:J108" si="10">SUM(D104:D107)</f>
        <v>12</v>
      </c>
      <c r="E108" s="197">
        <f t="shared" si="10"/>
        <v>964159</v>
      </c>
      <c r="F108" s="197">
        <f t="shared" si="10"/>
        <v>317069</v>
      </c>
      <c r="G108" s="197">
        <f t="shared" si="10"/>
        <v>175910</v>
      </c>
      <c r="H108" s="197">
        <f t="shared" si="10"/>
        <v>292561</v>
      </c>
      <c r="I108" s="197">
        <f t="shared" si="10"/>
        <v>178619</v>
      </c>
      <c r="J108" s="197">
        <f t="shared" si="10"/>
        <v>964159</v>
      </c>
      <c r="K108" s="138"/>
      <c r="L108" s="238"/>
    </row>
    <row r="109" spans="1:12" ht="15.4" x14ac:dyDescent="0.45">
      <c r="A109" s="92"/>
      <c r="B109"/>
      <c r="C109" s="197"/>
      <c r="D109"/>
      <c r="E109" s="138"/>
      <c r="F109"/>
      <c r="G109"/>
      <c r="H109"/>
      <c r="I109"/>
      <c r="J109" s="138"/>
      <c r="K109" s="138"/>
      <c r="L109" s="238"/>
    </row>
    <row r="110" spans="1:12" ht="15.4" x14ac:dyDescent="0.45">
      <c r="A110" s="92"/>
      <c r="B110"/>
      <c r="C110"/>
      <c r="D110"/>
      <c r="E110"/>
      <c r="F110"/>
      <c r="G110"/>
      <c r="H110"/>
      <c r="I110"/>
      <c r="J110"/>
      <c r="K110" s="138"/>
      <c r="L110" s="238"/>
    </row>
    <row r="111" spans="1:12" ht="15.4" x14ac:dyDescent="0.45">
      <c r="A111" s="92"/>
      <c r="B111" t="s">
        <v>51</v>
      </c>
      <c r="C111" s="197">
        <f>F103</f>
        <v>30000</v>
      </c>
      <c r="D111" t="s">
        <v>188</v>
      </c>
      <c r="E111" s="197">
        <f>D108</f>
        <v>12</v>
      </c>
      <c r="F111" s="197">
        <f>F108</f>
        <v>317069</v>
      </c>
      <c r="G111" s="244">
        <f>'Rates Comp'!L43</f>
        <v>305.64</v>
      </c>
      <c r="H111" t="s">
        <v>241</v>
      </c>
      <c r="I111" s="138">
        <f>ROUND(E111*G111,2)</f>
        <v>3667.68</v>
      </c>
      <c r="J111" s="197"/>
      <c r="K111" s="138"/>
      <c r="L111" s="238"/>
    </row>
    <row r="112" spans="1:12" ht="15.4" x14ac:dyDescent="0.45">
      <c r="A112" s="92"/>
      <c r="B112" t="s">
        <v>52</v>
      </c>
      <c r="C112" s="197">
        <f>G103</f>
        <v>20000</v>
      </c>
      <c r="D112" t="s">
        <v>188</v>
      </c>
      <c r="E112" s="197"/>
      <c r="F112" s="197">
        <f>G108</f>
        <v>175910</v>
      </c>
      <c r="G112" s="271">
        <f>'Rates Comp'!L44</f>
        <v>7.0200000000000002E-3</v>
      </c>
      <c r="H112" t="s">
        <v>240</v>
      </c>
      <c r="I112" s="138">
        <f t="shared" ref="I112:I114" si="11">ROUND(F112*G112,2)</f>
        <v>1234.8900000000001</v>
      </c>
      <c r="J112" s="197"/>
      <c r="K112" s="138"/>
      <c r="L112" s="238"/>
    </row>
    <row r="113" spans="1:12" ht="15.4" x14ac:dyDescent="0.45">
      <c r="A113" s="92"/>
      <c r="B113" t="s">
        <v>52</v>
      </c>
      <c r="C113" s="197">
        <f>H103</f>
        <v>50000</v>
      </c>
      <c r="D113" t="s">
        <v>188</v>
      </c>
      <c r="E113" s="197"/>
      <c r="F113" s="197">
        <f>H108</f>
        <v>292561</v>
      </c>
      <c r="G113" s="271">
        <f>'Rates Comp'!L45</f>
        <v>6.0400000000000002E-3</v>
      </c>
      <c r="H113" t="s">
        <v>240</v>
      </c>
      <c r="I113" s="138">
        <f t="shared" si="11"/>
        <v>1767.07</v>
      </c>
      <c r="J113" s="197"/>
      <c r="K113" s="138"/>
      <c r="L113" s="238"/>
    </row>
    <row r="114" spans="1:12" ht="15.4" x14ac:dyDescent="0.45">
      <c r="A114" s="92"/>
      <c r="B114" t="s">
        <v>114</v>
      </c>
      <c r="C114" s="197">
        <f>SUM(C111:C113)</f>
        <v>100000</v>
      </c>
      <c r="D114" t="s">
        <v>188</v>
      </c>
      <c r="E114" s="197"/>
      <c r="F114" s="197">
        <f>I108</f>
        <v>178619</v>
      </c>
      <c r="G114" s="271">
        <f>'Rates Comp'!L46</f>
        <v>5.0300000000000006E-3</v>
      </c>
      <c r="H114" t="s">
        <v>240</v>
      </c>
      <c r="I114" s="138">
        <f t="shared" si="11"/>
        <v>898.45</v>
      </c>
      <c r="J114" s="197"/>
      <c r="K114" s="138"/>
      <c r="L114" s="238"/>
    </row>
    <row r="115" spans="1:12" ht="15.4" x14ac:dyDescent="0.45">
      <c r="A115" s="92"/>
      <c r="B115" t="s">
        <v>348</v>
      </c>
      <c r="C115" s="197"/>
      <c r="D115"/>
      <c r="E115" s="197">
        <f>SUM(E111:E114)</f>
        <v>12</v>
      </c>
      <c r="F115" s="197">
        <f>SUM(F111:F114)</f>
        <v>964159</v>
      </c>
      <c r="G115"/>
      <c r="H115"/>
      <c r="I115" s="138">
        <f>SUM(I111:I114)</f>
        <v>7568.0899999999992</v>
      </c>
      <c r="J115" s="197"/>
      <c r="K115" s="138"/>
      <c r="L115" s="238"/>
    </row>
    <row r="116" spans="1:12" ht="15.4" x14ac:dyDescent="0.45">
      <c r="A116" s="92"/>
      <c r="B116"/>
      <c r="C116"/>
      <c r="D116" s="138"/>
      <c r="E116" s="138"/>
      <c r="F116" s="138"/>
      <c r="G116" s="138"/>
      <c r="H116" s="138"/>
      <c r="I116" s="138"/>
      <c r="J116" s="138"/>
      <c r="K116" s="138"/>
      <c r="L116" s="238"/>
    </row>
    <row r="117" spans="1:12" ht="15.4" x14ac:dyDescent="0.45">
      <c r="A117" s="92"/>
      <c r="B117" t="s">
        <v>339</v>
      </c>
      <c r="C117"/>
      <c r="D117" s="138"/>
      <c r="E117" s="138"/>
      <c r="F117" s="138"/>
      <c r="G117" s="138"/>
      <c r="H117" s="138"/>
      <c r="I117" s="138"/>
      <c r="J117" s="138"/>
      <c r="K117" s="138"/>
      <c r="L117" s="238"/>
    </row>
    <row r="118" spans="1:12" ht="15.4" x14ac:dyDescent="0.45">
      <c r="A118" s="92"/>
      <c r="B118"/>
      <c r="C118" s="197"/>
      <c r="D118" s="257" t="s">
        <v>187</v>
      </c>
      <c r="E118" s="523" t="s">
        <v>188</v>
      </c>
      <c r="F118" s="198">
        <f>C119</f>
        <v>60000</v>
      </c>
      <c r="G118" s="198">
        <f>C120</f>
        <v>40000</v>
      </c>
      <c r="H118" s="198">
        <f>C121</f>
        <v>100000</v>
      </c>
      <c r="I118" s="198"/>
      <c r="J118" s="138"/>
      <c r="K118" s="138"/>
      <c r="L118" s="238"/>
    </row>
    <row r="119" spans="1:12" ht="15.4" x14ac:dyDescent="0.45">
      <c r="A119" s="92"/>
      <c r="B119" t="s">
        <v>51</v>
      </c>
      <c r="C119" s="197">
        <v>60000</v>
      </c>
      <c r="D119" s="197">
        <v>34</v>
      </c>
      <c r="E119" s="197">
        <v>599082</v>
      </c>
      <c r="F119" s="197">
        <f>E119</f>
        <v>599082</v>
      </c>
      <c r="G119" s="197"/>
      <c r="H119" s="197"/>
      <c r="I119" s="197"/>
      <c r="J119" s="138"/>
      <c r="K119" s="138"/>
      <c r="L119" s="238"/>
    </row>
    <row r="120" spans="1:12" ht="15.4" x14ac:dyDescent="0.45">
      <c r="A120" s="92"/>
      <c r="B120" t="s">
        <v>52</v>
      </c>
      <c r="C120" s="197">
        <v>40000</v>
      </c>
      <c r="D120" s="197">
        <v>9</v>
      </c>
      <c r="E120" s="197">
        <v>697358</v>
      </c>
      <c r="F120" s="197">
        <f>D120*F118</f>
        <v>540000</v>
      </c>
      <c r="G120" s="197">
        <f>E120-F120</f>
        <v>157358</v>
      </c>
      <c r="H120" s="197"/>
      <c r="I120" s="197"/>
      <c r="J120" s="138"/>
      <c r="K120" s="138"/>
      <c r="L120" s="238"/>
    </row>
    <row r="121" spans="1:12" ht="15.4" x14ac:dyDescent="0.45">
      <c r="A121" s="92"/>
      <c r="B121" t="s">
        <v>52</v>
      </c>
      <c r="C121" s="197">
        <f>SUM(C119:C120)</f>
        <v>100000</v>
      </c>
      <c r="D121" s="197">
        <v>5</v>
      </c>
      <c r="E121" s="197">
        <v>619573</v>
      </c>
      <c r="F121" s="197">
        <f>D121*F118</f>
        <v>300000</v>
      </c>
      <c r="G121" s="197">
        <f>G118*D121</f>
        <v>200000</v>
      </c>
      <c r="H121" s="197">
        <f>E121-F121-G121</f>
        <v>119573</v>
      </c>
      <c r="I121" s="197"/>
      <c r="J121" s="138"/>
      <c r="K121" s="138"/>
      <c r="L121" s="238"/>
    </row>
    <row r="122" spans="1:12" ht="15.4" x14ac:dyDescent="0.45">
      <c r="A122" s="92"/>
      <c r="B122"/>
      <c r="C122" s="197"/>
      <c r="D122" s="197">
        <f t="shared" ref="D122:H122" si="12">SUM(D119:D121)</f>
        <v>48</v>
      </c>
      <c r="E122" s="197">
        <f t="shared" si="12"/>
        <v>1916013</v>
      </c>
      <c r="F122" s="197">
        <f t="shared" si="12"/>
        <v>1439082</v>
      </c>
      <c r="G122" s="197">
        <f t="shared" si="12"/>
        <v>357358</v>
      </c>
      <c r="H122" s="197">
        <f t="shared" si="12"/>
        <v>119573</v>
      </c>
      <c r="I122" s="197"/>
      <c r="J122" s="138"/>
      <c r="K122" s="138"/>
      <c r="L122" s="238"/>
    </row>
    <row r="123" spans="1:12" ht="15.4" x14ac:dyDescent="0.45">
      <c r="A123" s="92"/>
      <c r="B123"/>
      <c r="C123" s="197"/>
      <c r="D123"/>
      <c r="E123" s="138"/>
      <c r="F123"/>
      <c r="G123"/>
      <c r="H123"/>
      <c r="I123" s="197"/>
      <c r="J123" s="138"/>
      <c r="K123" s="138"/>
      <c r="L123" s="238"/>
    </row>
    <row r="124" spans="1:12" ht="15.4" x14ac:dyDescent="0.45">
      <c r="A124" s="92"/>
      <c r="B124"/>
      <c r="C124"/>
      <c r="D124"/>
      <c r="E124"/>
      <c r="F124"/>
      <c r="G124"/>
      <c r="H124"/>
      <c r="I124"/>
      <c r="J124" s="138"/>
      <c r="K124" s="138"/>
      <c r="L124" s="238"/>
    </row>
    <row r="125" spans="1:12" ht="15.4" x14ac:dyDescent="0.45">
      <c r="A125" s="92"/>
      <c r="B125" t="s">
        <v>51</v>
      </c>
      <c r="C125" s="197">
        <v>60000</v>
      </c>
      <c r="D125" t="s">
        <v>188</v>
      </c>
      <c r="E125" s="197">
        <f>D122</f>
        <v>48</v>
      </c>
      <c r="F125" s="197">
        <f>F122</f>
        <v>1439082</v>
      </c>
      <c r="G125" s="244">
        <f>'Rates Comp'!L49</f>
        <v>533.87</v>
      </c>
      <c r="H125" t="s">
        <v>241</v>
      </c>
      <c r="I125" s="138">
        <f>ROUND(E125*G125,2)</f>
        <v>25625.759999999998</v>
      </c>
      <c r="J125" s="138"/>
      <c r="K125" s="138"/>
      <c r="L125" s="238"/>
    </row>
    <row r="126" spans="1:12" ht="15.4" x14ac:dyDescent="0.45">
      <c r="A126" s="92"/>
      <c r="B126" t="s">
        <v>52</v>
      </c>
      <c r="C126" s="197">
        <v>40000</v>
      </c>
      <c r="D126" t="s">
        <v>188</v>
      </c>
      <c r="E126" s="197"/>
      <c r="F126" s="197">
        <f>G122</f>
        <v>357358</v>
      </c>
      <c r="G126" s="271">
        <f>'Rates Comp'!L50</f>
        <v>6.0400000000000002E-3</v>
      </c>
      <c r="H126" t="s">
        <v>240</v>
      </c>
      <c r="I126" s="138">
        <f>ROUND(F126*G126,2)</f>
        <v>2158.44</v>
      </c>
      <c r="J126" s="138"/>
      <c r="K126" s="138"/>
      <c r="L126" s="238"/>
    </row>
    <row r="127" spans="1:12" ht="15.4" x14ac:dyDescent="0.45">
      <c r="A127" s="92"/>
      <c r="B127" t="s">
        <v>114</v>
      </c>
      <c r="C127" s="197">
        <f>SUM(C125:C126)</f>
        <v>100000</v>
      </c>
      <c r="D127" t="s">
        <v>188</v>
      </c>
      <c r="E127" s="197"/>
      <c r="F127" s="197">
        <f>H122</f>
        <v>119573</v>
      </c>
      <c r="G127" s="271">
        <f>'Rates Comp'!L51</f>
        <v>5.0300000000000006E-3</v>
      </c>
      <c r="H127" t="s">
        <v>240</v>
      </c>
      <c r="I127" s="138">
        <f>ROUND(F127*G127,2)</f>
        <v>601.45000000000005</v>
      </c>
      <c r="J127" s="138"/>
      <c r="K127" s="138"/>
      <c r="L127" s="238"/>
    </row>
    <row r="128" spans="1:12" ht="15.4" x14ac:dyDescent="0.45">
      <c r="A128" s="92"/>
      <c r="B128" t="s">
        <v>348</v>
      </c>
      <c r="C128" s="197"/>
      <c r="D128"/>
      <c r="E128" s="197">
        <f>SUM(E125:E127)</f>
        <v>48</v>
      </c>
      <c r="F128" s="197">
        <f>SUM(F125:F127)</f>
        <v>1916013</v>
      </c>
      <c r="G128"/>
      <c r="I128" s="138">
        <f>SUM(I125:I127)</f>
        <v>28385.649999999998</v>
      </c>
      <c r="J128" s="138"/>
      <c r="K128" s="138"/>
      <c r="L128" s="238"/>
    </row>
    <row r="129" spans="1:12" ht="15.4" x14ac:dyDescent="0.45">
      <c r="A129" s="92"/>
      <c r="B129"/>
      <c r="C129" s="197"/>
      <c r="D129"/>
      <c r="E129" s="197"/>
      <c r="F129" s="197"/>
      <c r="G129" s="271"/>
      <c r="H129"/>
      <c r="I129" s="138"/>
      <c r="J129" s="138"/>
      <c r="K129" s="138"/>
      <c r="L129" s="238"/>
    </row>
    <row r="130" spans="1:12" ht="15.4" x14ac:dyDescent="0.45">
      <c r="A130" s="92"/>
      <c r="B130"/>
      <c r="C130" s="197"/>
      <c r="D130"/>
      <c r="E130" s="197"/>
      <c r="F130" s="197"/>
      <c r="G130"/>
      <c r="H130"/>
      <c r="I130" s="138"/>
      <c r="J130" s="138"/>
      <c r="K130" s="138"/>
      <c r="L130" s="238"/>
    </row>
    <row r="131" spans="1:12" ht="15.4" x14ac:dyDescent="0.45">
      <c r="A131" s="92"/>
      <c r="B131"/>
      <c r="C131"/>
      <c r="D131" s="138"/>
      <c r="E131" s="138"/>
      <c r="F131" s="138"/>
      <c r="G131" s="138"/>
      <c r="H131" s="138"/>
      <c r="I131" s="138"/>
      <c r="J131" s="138"/>
      <c r="K131" s="138"/>
      <c r="L131" s="525"/>
    </row>
    <row r="132" spans="1:12" ht="15.4" x14ac:dyDescent="0.45">
      <c r="A132" s="526"/>
      <c r="B132" s="116" t="s">
        <v>355</v>
      </c>
      <c r="C132"/>
      <c r="D132" s="138"/>
      <c r="E132" s="138"/>
      <c r="F132" s="138"/>
      <c r="G132" s="138"/>
      <c r="H132" s="138"/>
      <c r="I132" s="138"/>
      <c r="L132" s="525"/>
    </row>
    <row r="133" spans="1:12" ht="15.75" x14ac:dyDescent="0.5">
      <c r="A133" s="526"/>
      <c r="B133" s="272" t="s">
        <v>352</v>
      </c>
      <c r="C133" s="273"/>
      <c r="D133" s="272"/>
      <c r="E133" s="273"/>
      <c r="F133" s="273"/>
      <c r="G133" s="273"/>
      <c r="H133" s="273"/>
      <c r="I133" s="273"/>
      <c r="L133" s="525"/>
    </row>
    <row r="134" spans="1:12" ht="15.75" x14ac:dyDescent="0.5">
      <c r="A134" s="526"/>
      <c r="B134" s="272"/>
      <c r="C134" s="273"/>
      <c r="D134" s="272"/>
      <c r="E134" s="273">
        <v>12</v>
      </c>
      <c r="F134" s="273"/>
      <c r="G134" s="274">
        <f>'Rates Comp'!R61</f>
        <v>91.289999999999992</v>
      </c>
      <c r="H134" s="272" t="s">
        <v>241</v>
      </c>
      <c r="I134" s="524">
        <f>ROUND(E134*G134,2)</f>
        <v>1095.48</v>
      </c>
      <c r="L134" s="525"/>
    </row>
    <row r="135" spans="1:12" ht="15.75" x14ac:dyDescent="0.5">
      <c r="A135" s="526"/>
      <c r="B135" s="272" t="s">
        <v>348</v>
      </c>
      <c r="C135" s="273"/>
      <c r="D135" s="272"/>
      <c r="E135" s="273">
        <f>SUM(E134:E134)</f>
        <v>12</v>
      </c>
      <c r="F135" s="273"/>
      <c r="G135" s="272"/>
      <c r="H135" s="272"/>
      <c r="I135" s="138">
        <f>SUM(I134:I134)</f>
        <v>1095.48</v>
      </c>
      <c r="L135" s="525"/>
    </row>
    <row r="136" spans="1:12" ht="15.4" x14ac:dyDescent="0.45">
      <c r="A136" s="526"/>
      <c r="B136"/>
      <c r="C136"/>
      <c r="D136" s="138"/>
      <c r="E136" s="138"/>
      <c r="F136" s="138"/>
      <c r="G136" s="138"/>
      <c r="H136" s="138"/>
      <c r="I136" s="138"/>
      <c r="L136" s="525"/>
    </row>
    <row r="137" spans="1:12" ht="15.4" x14ac:dyDescent="0.45">
      <c r="A137" s="526"/>
      <c r="B137" s="116" t="s">
        <v>356</v>
      </c>
      <c r="C137"/>
      <c r="D137" s="138"/>
      <c r="E137" s="138"/>
      <c r="F137" s="138"/>
      <c r="G137" s="138"/>
      <c r="H137" s="138"/>
      <c r="I137" s="138"/>
      <c r="L137" s="525"/>
    </row>
    <row r="138" spans="1:12" ht="15.75" x14ac:dyDescent="0.5">
      <c r="A138" s="526"/>
      <c r="B138" s="272" t="s">
        <v>352</v>
      </c>
      <c r="C138" s="273"/>
      <c r="D138" s="272"/>
      <c r="E138" s="273"/>
      <c r="F138" s="273"/>
      <c r="G138" s="273"/>
      <c r="H138" s="273"/>
      <c r="I138" s="273"/>
      <c r="L138" s="525"/>
    </row>
    <row r="139" spans="1:12" ht="15.75" x14ac:dyDescent="0.5">
      <c r="A139" s="526"/>
      <c r="B139" s="272"/>
      <c r="C139" s="273"/>
      <c r="D139" s="272"/>
      <c r="E139" s="273">
        <v>12</v>
      </c>
      <c r="F139" s="273"/>
      <c r="G139" s="274">
        <f>'Rates Comp'!R62</f>
        <v>198.45998999999998</v>
      </c>
      <c r="H139" s="272" t="s">
        <v>241</v>
      </c>
      <c r="I139" s="524">
        <f>ROUND(E139*G139,2)</f>
        <v>2381.52</v>
      </c>
      <c r="L139" s="525"/>
    </row>
    <row r="140" spans="1:12" ht="15.75" x14ac:dyDescent="0.5">
      <c r="A140" s="526"/>
      <c r="B140" s="272" t="s">
        <v>353</v>
      </c>
      <c r="C140" s="272"/>
      <c r="D140" s="272"/>
      <c r="E140" s="272"/>
      <c r="F140" s="272"/>
      <c r="G140" s="272"/>
      <c r="H140" s="272"/>
      <c r="I140" s="524">
        <f>SUM(I139)</f>
        <v>2381.52</v>
      </c>
      <c r="L140" s="525"/>
    </row>
    <row r="141" spans="1:12" x14ac:dyDescent="0.45">
      <c r="A141" s="526"/>
      <c r="L141" s="525"/>
    </row>
    <row r="142" spans="1:12" ht="15.4" x14ac:dyDescent="0.45">
      <c r="A142" s="526"/>
      <c r="B142" t="s">
        <v>351</v>
      </c>
      <c r="C142"/>
      <c r="D142" s="138"/>
      <c r="E142" s="138"/>
      <c r="F142" s="138"/>
      <c r="G142" s="138"/>
      <c r="H142" s="138"/>
      <c r="I142" s="138"/>
      <c r="L142" s="525"/>
    </row>
    <row r="143" spans="1:12" ht="15.75" x14ac:dyDescent="0.5">
      <c r="A143" s="526"/>
      <c r="B143" s="272" t="s">
        <v>352</v>
      </c>
      <c r="C143" s="273"/>
      <c r="D143" s="272"/>
      <c r="E143" s="273"/>
      <c r="F143" s="273"/>
      <c r="G143" s="273"/>
      <c r="H143" s="273"/>
      <c r="I143" s="273"/>
      <c r="L143" s="525"/>
    </row>
    <row r="144" spans="1:12" ht="15.75" x14ac:dyDescent="0.5">
      <c r="A144" s="526"/>
      <c r="B144" s="272"/>
      <c r="C144" s="273"/>
      <c r="D144" s="272"/>
      <c r="E144" s="273">
        <v>12</v>
      </c>
      <c r="F144" s="273"/>
      <c r="G144" s="274">
        <f>'Rates Comp'!R63</f>
        <v>457.20999</v>
      </c>
      <c r="H144" s="272" t="s">
        <v>241</v>
      </c>
      <c r="I144" s="524">
        <f>ROUND(E144*G144,2)</f>
        <v>5486.52</v>
      </c>
      <c r="L144" s="525"/>
    </row>
    <row r="145" spans="1:12" ht="15.75" x14ac:dyDescent="0.5">
      <c r="A145" s="526"/>
      <c r="B145" s="272" t="s">
        <v>353</v>
      </c>
      <c r="C145" s="272"/>
      <c r="D145" s="272"/>
      <c r="E145" s="272"/>
      <c r="F145" s="272"/>
      <c r="G145" s="272"/>
      <c r="H145" s="272"/>
      <c r="I145" s="524">
        <f>SUM(I144)</f>
        <v>5486.52</v>
      </c>
      <c r="L145" s="525"/>
    </row>
    <row r="146" spans="1:12" x14ac:dyDescent="0.45">
      <c r="A146" s="526"/>
      <c r="L146" s="525"/>
    </row>
    <row r="147" spans="1:12" x14ac:dyDescent="0.45">
      <c r="A147" s="527"/>
      <c r="B147" s="528"/>
      <c r="C147" s="528"/>
      <c r="D147" s="528"/>
      <c r="E147" s="528"/>
      <c r="F147" s="528"/>
      <c r="G147" s="528"/>
      <c r="H147" s="528"/>
      <c r="I147" s="528"/>
      <c r="J147" s="528"/>
      <c r="K147" s="528"/>
      <c r="L147" s="529"/>
    </row>
  </sheetData>
  <mergeCells count="2">
    <mergeCell ref="B1:J1"/>
    <mergeCell ref="B2:J2"/>
  </mergeCells>
  <printOptions horizontalCentered="1"/>
  <pageMargins left="0.6" right="0.6" top="1" bottom="1" header="0.3" footer="0.3"/>
  <pageSetup scale="97" fitToHeight="2" orientation="portrait" r:id="rId1"/>
  <headerFooter>
    <oddFooter>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8A65-2039-491F-8878-C873BE8058D9}">
  <dimension ref="B3:X72"/>
  <sheetViews>
    <sheetView showGridLines="0" topLeftCell="A33" workbookViewId="0">
      <selection activeCell="F68" sqref="F68"/>
    </sheetView>
  </sheetViews>
  <sheetFormatPr defaultColWidth="8.88671875" defaultRowHeight="15" x14ac:dyDescent="0.4"/>
  <cols>
    <col min="1" max="1" width="9.6640625" style="116" customWidth="1"/>
    <col min="2" max="2" width="1.109375" style="116" customWidth="1"/>
    <col min="3" max="3" width="4.77734375" style="116" customWidth="1"/>
    <col min="4" max="5" width="10.77734375" style="116" customWidth="1"/>
    <col min="6" max="6" width="11.77734375" style="116" customWidth="1"/>
    <col min="7" max="7" width="1.77734375" style="116" customWidth="1"/>
    <col min="8" max="8" width="10.77734375" style="116" customWidth="1"/>
    <col min="9" max="9" width="1.21875" style="116" customWidth="1"/>
    <col min="10" max="10" width="10.77734375" style="116" customWidth="1"/>
    <col min="11" max="11" width="1.77734375" style="116" customWidth="1"/>
    <col min="12" max="12" width="10.77734375" style="116" customWidth="1"/>
    <col min="13" max="13" width="1.77734375" style="116" customWidth="1"/>
    <col min="14" max="14" width="12.77734375" style="116" customWidth="1"/>
    <col min="15" max="15" width="1.77734375" style="116" customWidth="1"/>
    <col min="16" max="16" width="12.77734375" style="116" customWidth="1"/>
    <col min="17" max="17" width="1.77734375" style="116" customWidth="1"/>
    <col min="18" max="20" width="9.6640625" style="116" customWidth="1"/>
    <col min="21" max="24" width="12.77734375" style="116" customWidth="1"/>
    <col min="25" max="203" width="9.6640625" style="116" customWidth="1"/>
    <col min="204" max="16384" width="8.88671875" style="116"/>
  </cols>
  <sheetData>
    <row r="3" spans="2:24" x14ac:dyDescent="0.4">
      <c r="B3" s="152"/>
      <c r="C3" s="566"/>
      <c r="D3" s="309"/>
      <c r="E3" s="309"/>
      <c r="F3" s="309"/>
      <c r="G3" s="309"/>
      <c r="H3" s="309"/>
      <c r="I3" s="309"/>
      <c r="J3" s="583"/>
      <c r="K3" s="583"/>
      <c r="L3" s="309"/>
      <c r="M3" s="309"/>
      <c r="N3" s="661" t="s">
        <v>237</v>
      </c>
      <c r="O3" s="661"/>
      <c r="P3" s="661"/>
      <c r="Q3" s="401"/>
    </row>
    <row r="4" spans="2:24" x14ac:dyDescent="0.4">
      <c r="B4" s="153"/>
      <c r="C4" s="517" t="s">
        <v>720</v>
      </c>
      <c r="F4" s="657" t="s">
        <v>235</v>
      </c>
      <c r="G4" s="657"/>
      <c r="H4" s="657"/>
      <c r="J4" s="657" t="s">
        <v>236</v>
      </c>
      <c r="K4" s="657"/>
      <c r="L4" s="657"/>
      <c r="N4" s="243" t="s">
        <v>681</v>
      </c>
      <c r="P4" s="243" t="s">
        <v>232</v>
      </c>
      <c r="Q4" s="549"/>
    </row>
    <row r="5" spans="2:24" x14ac:dyDescent="0.4">
      <c r="B5" s="153"/>
      <c r="C5" s="579" t="s">
        <v>51</v>
      </c>
      <c r="D5" s="142">
        <v>2000</v>
      </c>
      <c r="E5" s="514" t="s">
        <v>188</v>
      </c>
      <c r="F5" s="550">
        <f>'Yr 1 Rate Comp'!F11</f>
        <v>20.38</v>
      </c>
      <c r="G5" s="550"/>
      <c r="H5" s="116" t="s">
        <v>241</v>
      </c>
      <c r="J5" s="550">
        <f>'Rates Comp'!L11</f>
        <v>27.33</v>
      </c>
      <c r="K5" s="550"/>
      <c r="L5" s="116" t="s">
        <v>241</v>
      </c>
      <c r="N5" s="550">
        <f>J5-F5</f>
        <v>6.9499999999999993</v>
      </c>
      <c r="O5" s="550"/>
      <c r="P5" s="585">
        <f>ROUND(N5/F5,4)</f>
        <v>0.34100000000000003</v>
      </c>
      <c r="Q5" s="549"/>
      <c r="S5" s="142">
        <f>D5</f>
        <v>2000</v>
      </c>
      <c r="U5" s="404">
        <f>F5</f>
        <v>20.38</v>
      </c>
      <c r="V5" s="404">
        <f>J5</f>
        <v>27.33</v>
      </c>
    </row>
    <row r="6" spans="2:24" x14ac:dyDescent="0.4">
      <c r="B6" s="153"/>
      <c r="C6" s="579" t="s">
        <v>52</v>
      </c>
      <c r="D6" s="142">
        <v>4000</v>
      </c>
      <c r="E6" s="514" t="s">
        <v>188</v>
      </c>
      <c r="F6" s="577">
        <f>'Yr 1 Rate Comp'!F12</f>
        <v>5.8999999999999999E-3</v>
      </c>
      <c r="G6" s="551"/>
      <c r="H6" s="116" t="s">
        <v>240</v>
      </c>
      <c r="J6" s="577">
        <f>'Rates Comp'!L12</f>
        <v>7.9100000000000004E-3</v>
      </c>
      <c r="K6" s="551"/>
      <c r="L6" s="116" t="s">
        <v>240</v>
      </c>
      <c r="M6" s="552"/>
      <c r="N6" s="551">
        <f>J6-F6</f>
        <v>2.0100000000000005E-3</v>
      </c>
      <c r="O6" s="550"/>
      <c r="P6" s="585">
        <f t="shared" ref="P6:P9" si="0">ROUND(N6/F6,4)</f>
        <v>0.3407</v>
      </c>
      <c r="Q6" s="549"/>
      <c r="S6" s="553">
        <f>F58-S5</f>
        <v>2008</v>
      </c>
      <c r="U6" s="116">
        <f>ROUND(S6*F6,2)</f>
        <v>11.85</v>
      </c>
      <c r="V6" s="116">
        <f>ROUND(S6*J6,2)</f>
        <v>15.88</v>
      </c>
    </row>
    <row r="7" spans="2:24" x14ac:dyDescent="0.4">
      <c r="B7" s="153"/>
      <c r="C7" s="579" t="s">
        <v>52</v>
      </c>
      <c r="D7" s="142">
        <v>44000</v>
      </c>
      <c r="E7" s="514" t="s">
        <v>188</v>
      </c>
      <c r="F7" s="577">
        <f>'Yr 1 Rate Comp'!F13</f>
        <v>5.2399999999999999E-3</v>
      </c>
      <c r="G7" s="551"/>
      <c r="H7" s="116" t="s">
        <v>240</v>
      </c>
      <c r="J7" s="577">
        <f>'Rates Comp'!L13</f>
        <v>7.0200000000000002E-3</v>
      </c>
      <c r="K7" s="551"/>
      <c r="L7" s="116" t="s">
        <v>240</v>
      </c>
      <c r="N7" s="551">
        <f>J7-F7</f>
        <v>1.7800000000000003E-3</v>
      </c>
      <c r="O7" s="550"/>
      <c r="P7" s="585">
        <f t="shared" si="0"/>
        <v>0.3397</v>
      </c>
      <c r="Q7" s="402"/>
      <c r="U7" s="404">
        <f>SUM(U5:U6)</f>
        <v>32.229999999999997</v>
      </c>
      <c r="V7" s="404">
        <f>SUM(V5:V6)</f>
        <v>43.21</v>
      </c>
      <c r="W7" s="404">
        <f>V7-U7</f>
        <v>10.980000000000004</v>
      </c>
      <c r="X7" s="556">
        <f>ROUND(W7/U7,3)</f>
        <v>0.34100000000000003</v>
      </c>
    </row>
    <row r="8" spans="2:24" x14ac:dyDescent="0.4">
      <c r="B8" s="153"/>
      <c r="C8" s="579" t="s">
        <v>52</v>
      </c>
      <c r="D8" s="142">
        <v>50000</v>
      </c>
      <c r="E8" s="514" t="s">
        <v>188</v>
      </c>
      <c r="F8" s="577">
        <f>'Yr 1 Rate Comp'!F14</f>
        <v>4.5100000000000001E-3</v>
      </c>
      <c r="G8" s="551"/>
      <c r="H8" s="116" t="s">
        <v>240</v>
      </c>
      <c r="J8" s="577">
        <f>'Rates Comp'!L14</f>
        <v>6.0400000000000002E-3</v>
      </c>
      <c r="K8" s="551"/>
      <c r="L8" s="116" t="s">
        <v>240</v>
      </c>
      <c r="N8" s="551">
        <f>J8-F8</f>
        <v>1.5300000000000001E-3</v>
      </c>
      <c r="O8" s="550"/>
      <c r="P8" s="585">
        <f t="shared" si="0"/>
        <v>0.3392</v>
      </c>
      <c r="Q8" s="402"/>
      <c r="X8" s="501"/>
    </row>
    <row r="9" spans="2:24" x14ac:dyDescent="0.4">
      <c r="B9" s="153"/>
      <c r="C9" s="579" t="s">
        <v>114</v>
      </c>
      <c r="D9" s="142">
        <f>SUM(D5:D8)</f>
        <v>100000</v>
      </c>
      <c r="E9" s="514" t="s">
        <v>188</v>
      </c>
      <c r="F9" s="577">
        <f>'Yr 1 Rate Comp'!F15</f>
        <v>3.7599999999999999E-3</v>
      </c>
      <c r="G9" s="551"/>
      <c r="H9" s="116" t="s">
        <v>240</v>
      </c>
      <c r="J9" s="577">
        <f>'Rates Comp'!L15</f>
        <v>5.0300000000000006E-3</v>
      </c>
      <c r="K9" s="551"/>
      <c r="L9" s="116" t="s">
        <v>240</v>
      </c>
      <c r="N9" s="551">
        <f>J9-F9</f>
        <v>1.2700000000000007E-3</v>
      </c>
      <c r="O9" s="550"/>
      <c r="P9" s="585">
        <f t="shared" si="0"/>
        <v>0.33779999999999999</v>
      </c>
      <c r="Q9" s="402"/>
      <c r="X9" s="501"/>
    </row>
    <row r="10" spans="2:24" x14ac:dyDescent="0.4">
      <c r="B10" s="153"/>
      <c r="C10" s="517" t="s">
        <v>334</v>
      </c>
      <c r="E10" s="514"/>
      <c r="Q10" s="402"/>
      <c r="X10" s="501"/>
    </row>
    <row r="11" spans="2:24" x14ac:dyDescent="0.4">
      <c r="B11" s="153"/>
      <c r="C11" s="579" t="s">
        <v>51</v>
      </c>
      <c r="D11" s="142">
        <v>5000</v>
      </c>
      <c r="E11" s="514" t="s">
        <v>188</v>
      </c>
      <c r="F11" s="550">
        <f>'Yr 1 Rate Comp'!F18</f>
        <v>38.68</v>
      </c>
      <c r="G11" s="550"/>
      <c r="H11" s="116" t="s">
        <v>241</v>
      </c>
      <c r="J11" s="550">
        <f>'Rates Comp'!L18</f>
        <v>51.89</v>
      </c>
      <c r="K11" s="550"/>
      <c r="L11" s="116" t="s">
        <v>241</v>
      </c>
      <c r="N11" s="550">
        <f>J11-F11</f>
        <v>13.21</v>
      </c>
      <c r="O11" s="550"/>
      <c r="P11" s="585">
        <f>ROUND(N11/F11,4)</f>
        <v>0.34150000000000003</v>
      </c>
      <c r="Q11" s="402"/>
      <c r="S11" s="142">
        <f>D11</f>
        <v>5000</v>
      </c>
      <c r="U11" s="404">
        <f>F11</f>
        <v>38.68</v>
      </c>
      <c r="V11" s="404">
        <f>J11</f>
        <v>51.89</v>
      </c>
      <c r="X11" s="501"/>
    </row>
    <row r="12" spans="2:24" x14ac:dyDescent="0.4">
      <c r="B12" s="153"/>
      <c r="C12" s="579" t="s">
        <v>52</v>
      </c>
      <c r="D12" s="142">
        <v>1000</v>
      </c>
      <c r="E12" s="514" t="s">
        <v>188</v>
      </c>
      <c r="F12" s="577">
        <f>'Yr 1 Rate Comp'!F19</f>
        <v>5.8999999999999999E-3</v>
      </c>
      <c r="G12" s="551"/>
      <c r="H12" s="116" t="s">
        <v>240</v>
      </c>
      <c r="J12" s="577">
        <f>'Rates Comp'!L19</f>
        <v>7.9100000000000004E-3</v>
      </c>
      <c r="K12" s="551"/>
      <c r="L12" s="116" t="s">
        <v>240</v>
      </c>
      <c r="N12" s="551">
        <f>J12-F12</f>
        <v>2.0100000000000005E-3</v>
      </c>
      <c r="O12" s="550"/>
      <c r="P12" s="585">
        <f t="shared" ref="P12:P15" si="1">ROUND(N12/F12,4)</f>
        <v>0.3407</v>
      </c>
      <c r="Q12" s="402"/>
      <c r="S12" s="553">
        <f>D12</f>
        <v>1000</v>
      </c>
      <c r="U12" s="116">
        <f>ROUND(S12*F12,2)</f>
        <v>5.9</v>
      </c>
      <c r="V12" s="116">
        <f>ROUND(S12*J12,2)</f>
        <v>7.91</v>
      </c>
      <c r="X12" s="501"/>
    </row>
    <row r="13" spans="2:24" x14ac:dyDescent="0.4">
      <c r="B13" s="153"/>
      <c r="C13" s="579" t="s">
        <v>52</v>
      </c>
      <c r="D13" s="142">
        <v>44000</v>
      </c>
      <c r="E13" s="514" t="s">
        <v>188</v>
      </c>
      <c r="F13" s="577">
        <f>'Yr 1 Rate Comp'!F20</f>
        <v>5.2399999999999999E-3</v>
      </c>
      <c r="G13" s="551"/>
      <c r="H13" s="116" t="s">
        <v>240</v>
      </c>
      <c r="J13" s="577">
        <f>'Rates Comp'!L20</f>
        <v>7.0200000000000002E-3</v>
      </c>
      <c r="K13" s="551"/>
      <c r="L13" s="116" t="s">
        <v>240</v>
      </c>
      <c r="N13" s="551">
        <f>J13-F13</f>
        <v>1.7800000000000003E-3</v>
      </c>
      <c r="O13" s="550"/>
      <c r="P13" s="585">
        <f t="shared" si="1"/>
        <v>0.3397</v>
      </c>
      <c r="Q13" s="402"/>
      <c r="S13" s="553">
        <f>F59-S11-S12</f>
        <v>15116</v>
      </c>
      <c r="U13" s="116">
        <f>ROUND(S13*F13,2)</f>
        <v>79.209999999999994</v>
      </c>
      <c r="V13" s="116">
        <f>ROUND(S13*J13,2)</f>
        <v>106.11</v>
      </c>
    </row>
    <row r="14" spans="2:24" x14ac:dyDescent="0.4">
      <c r="B14" s="153"/>
      <c r="C14" s="579" t="s">
        <v>52</v>
      </c>
      <c r="D14" s="142">
        <v>50000</v>
      </c>
      <c r="E14" s="514" t="s">
        <v>188</v>
      </c>
      <c r="F14" s="577">
        <f>'Yr 1 Rate Comp'!F21</f>
        <v>4.5100000000000001E-3</v>
      </c>
      <c r="G14" s="551"/>
      <c r="H14" s="116" t="s">
        <v>240</v>
      </c>
      <c r="J14" s="577">
        <f>'Rates Comp'!L21</f>
        <v>6.0400000000000002E-3</v>
      </c>
      <c r="K14" s="551"/>
      <c r="L14" s="116" t="s">
        <v>240</v>
      </c>
      <c r="N14" s="551">
        <f>J14-F14</f>
        <v>1.5300000000000001E-3</v>
      </c>
      <c r="O14" s="550"/>
      <c r="P14" s="585">
        <f t="shared" si="1"/>
        <v>0.3392</v>
      </c>
      <c r="Q14" s="402"/>
      <c r="U14" s="404">
        <f>SUM(U11:U13)</f>
        <v>123.78999999999999</v>
      </c>
      <c r="V14" s="404">
        <f>SUM(V11:V13)</f>
        <v>165.91</v>
      </c>
      <c r="W14" s="404">
        <f>V14-U14</f>
        <v>42.120000000000005</v>
      </c>
      <c r="X14" s="554">
        <f>ROUND(W14/U14,2)</f>
        <v>0.34</v>
      </c>
    </row>
    <row r="15" spans="2:24" x14ac:dyDescent="0.4">
      <c r="B15" s="153"/>
      <c r="C15" s="579" t="s">
        <v>114</v>
      </c>
      <c r="D15" s="142">
        <f>SUM(D11:D14)</f>
        <v>100000</v>
      </c>
      <c r="E15" s="514" t="s">
        <v>188</v>
      </c>
      <c r="F15" s="577">
        <f>'Yr 1 Rate Comp'!F22</f>
        <v>3.7599999999999999E-3</v>
      </c>
      <c r="G15" s="555"/>
      <c r="H15" s="116" t="s">
        <v>240</v>
      </c>
      <c r="J15" s="577">
        <f>'Rates Comp'!L22</f>
        <v>5.0300000000000006E-3</v>
      </c>
      <c r="L15" s="116" t="s">
        <v>240</v>
      </c>
      <c r="N15" s="551">
        <f>J15-F15</f>
        <v>1.2700000000000007E-3</v>
      </c>
      <c r="O15" s="550"/>
      <c r="P15" s="585">
        <f t="shared" si="1"/>
        <v>0.33779999999999999</v>
      </c>
      <c r="Q15" s="402"/>
      <c r="X15" s="501"/>
    </row>
    <row r="16" spans="2:24" x14ac:dyDescent="0.4">
      <c r="B16" s="153"/>
      <c r="C16" s="592" t="s">
        <v>335</v>
      </c>
      <c r="D16" s="142"/>
      <c r="F16" s="405"/>
      <c r="N16" s="555"/>
      <c r="O16" s="555"/>
      <c r="P16" s="555"/>
      <c r="Q16" s="402"/>
      <c r="S16" s="142">
        <f>D17</f>
        <v>10000</v>
      </c>
      <c r="U16" s="404">
        <f>F17</f>
        <v>69.11</v>
      </c>
      <c r="V16" s="404">
        <f>J17</f>
        <v>92.71</v>
      </c>
      <c r="X16" s="501"/>
    </row>
    <row r="17" spans="2:24" x14ac:dyDescent="0.4">
      <c r="B17" s="153"/>
      <c r="C17" s="116" t="s">
        <v>51</v>
      </c>
      <c r="D17" s="142">
        <v>10000</v>
      </c>
      <c r="E17" s="116" t="s">
        <v>188</v>
      </c>
      <c r="F17" s="404">
        <f>'Yr 1 Rate Comp'!F25</f>
        <v>69.11</v>
      </c>
      <c r="G17" s="550"/>
      <c r="H17" s="116" t="s">
        <v>241</v>
      </c>
      <c r="J17" s="550">
        <f>'Rates Comp'!L25</f>
        <v>92.71</v>
      </c>
      <c r="L17" s="116" t="s">
        <v>241</v>
      </c>
      <c r="N17" s="550">
        <f>J17-F17</f>
        <v>23.599999999999994</v>
      </c>
      <c r="O17" s="550"/>
      <c r="P17" s="585">
        <f>ROUND(N17/F17,4)</f>
        <v>0.34150000000000003</v>
      </c>
      <c r="Q17" s="402"/>
      <c r="S17" s="553">
        <f>D18</f>
        <v>40000</v>
      </c>
      <c r="U17" s="116">
        <f>ROUND(S17*F18,2)</f>
        <v>209.6</v>
      </c>
      <c r="V17" s="116">
        <f>ROUND(S17*J18,2)</f>
        <v>280.8</v>
      </c>
      <c r="X17" s="501"/>
    </row>
    <row r="18" spans="2:24" x14ac:dyDescent="0.4">
      <c r="B18" s="153"/>
      <c r="C18" s="116" t="s">
        <v>52</v>
      </c>
      <c r="D18" s="142">
        <v>40000</v>
      </c>
      <c r="E18" s="116" t="s">
        <v>188</v>
      </c>
      <c r="F18" s="576">
        <f>'Yr 1 Rate Comp'!F26</f>
        <v>5.2399999999999999E-3</v>
      </c>
      <c r="G18" s="551"/>
      <c r="H18" s="116" t="s">
        <v>240</v>
      </c>
      <c r="J18" s="577">
        <f>'Rates Comp'!L26</f>
        <v>7.0200000000000002E-3</v>
      </c>
      <c r="L18" s="116" t="s">
        <v>240</v>
      </c>
      <c r="N18" s="551">
        <f>J18-F18</f>
        <v>1.7800000000000003E-3</v>
      </c>
      <c r="O18" s="550"/>
      <c r="P18" s="585">
        <f t="shared" ref="P18:P20" si="2">ROUND(N18/F18,4)</f>
        <v>0.3397</v>
      </c>
      <c r="Q18" s="402"/>
      <c r="S18" s="553">
        <f>D19</f>
        <v>50000</v>
      </c>
      <c r="U18" s="116">
        <f>ROUND(S18*F19,2)</f>
        <v>225.5</v>
      </c>
      <c r="V18" s="116">
        <f>ROUND(S18*J19,2)</f>
        <v>302</v>
      </c>
      <c r="X18" s="501"/>
    </row>
    <row r="19" spans="2:24" x14ac:dyDescent="0.4">
      <c r="B19" s="153"/>
      <c r="C19" s="116" t="s">
        <v>52</v>
      </c>
      <c r="D19" s="142">
        <v>50000</v>
      </c>
      <c r="E19" s="116" t="s">
        <v>188</v>
      </c>
      <c r="F19" s="576">
        <f>'Yr 1 Rate Comp'!F27</f>
        <v>4.5100000000000001E-3</v>
      </c>
      <c r="G19" s="551"/>
      <c r="H19" s="116" t="s">
        <v>240</v>
      </c>
      <c r="J19" s="577">
        <f>'Rates Comp'!L27</f>
        <v>6.0400000000000002E-3</v>
      </c>
      <c r="L19" s="116" t="s">
        <v>240</v>
      </c>
      <c r="N19" s="551">
        <f>J19-F19</f>
        <v>1.5300000000000001E-3</v>
      </c>
      <c r="O19" s="550"/>
      <c r="P19" s="585">
        <f t="shared" si="2"/>
        <v>0.3392</v>
      </c>
      <c r="Q19" s="402"/>
      <c r="R19" s="142">
        <f>SUM(S16:S19)</f>
        <v>213248</v>
      </c>
      <c r="S19" s="553">
        <f>F60-S16-S17-S18</f>
        <v>113248</v>
      </c>
      <c r="U19" s="116">
        <f>ROUND(S19*F20,2)</f>
        <v>425.81</v>
      </c>
      <c r="V19" s="116">
        <f>ROUND(S19*J20,2)</f>
        <v>569.64</v>
      </c>
    </row>
    <row r="20" spans="2:24" x14ac:dyDescent="0.4">
      <c r="B20" s="153"/>
      <c r="C20" s="116" t="s">
        <v>114</v>
      </c>
      <c r="D20" s="142">
        <f>SUM(D16:D19)</f>
        <v>100000</v>
      </c>
      <c r="E20" s="116" t="s">
        <v>188</v>
      </c>
      <c r="F20" s="576">
        <f>'Yr 1 Rate Comp'!F28</f>
        <v>3.7599999999999999E-3</v>
      </c>
      <c r="G20" s="551"/>
      <c r="H20" s="116" t="s">
        <v>240</v>
      </c>
      <c r="J20" s="577">
        <f>'Rates Comp'!L28</f>
        <v>5.0300000000000006E-3</v>
      </c>
      <c r="L20" s="116" t="s">
        <v>240</v>
      </c>
      <c r="N20" s="551">
        <f>J20-F20</f>
        <v>1.2700000000000007E-3</v>
      </c>
      <c r="O20" s="550"/>
      <c r="P20" s="585">
        <f t="shared" si="2"/>
        <v>0.33779999999999999</v>
      </c>
      <c r="Q20" s="402"/>
      <c r="S20" s="142">
        <f>SUM(S16:S19)</f>
        <v>213248</v>
      </c>
      <c r="U20" s="404">
        <f>SUM(U16:U19)</f>
        <v>930.02</v>
      </c>
      <c r="V20" s="404">
        <f>SUM(V16:V19)</f>
        <v>1245.1500000000001</v>
      </c>
      <c r="W20" s="404">
        <f>V20-U20</f>
        <v>315.13000000000011</v>
      </c>
      <c r="X20" s="554">
        <f>ROUND(W20/U20,2)</f>
        <v>0.34</v>
      </c>
    </row>
    <row r="21" spans="2:24" x14ac:dyDescent="0.4">
      <c r="B21" s="153"/>
      <c r="C21" s="517" t="s">
        <v>336</v>
      </c>
      <c r="E21" s="514"/>
      <c r="Q21" s="402"/>
      <c r="X21" s="501"/>
    </row>
    <row r="22" spans="2:24" x14ac:dyDescent="0.4">
      <c r="B22" s="153"/>
      <c r="C22" s="579" t="s">
        <v>51</v>
      </c>
      <c r="D22" s="142">
        <v>16000</v>
      </c>
      <c r="E22" s="514" t="s">
        <v>188</v>
      </c>
      <c r="F22" s="550">
        <f>'Yr 1 Rate Comp'!F31</f>
        <v>101.44</v>
      </c>
      <c r="G22" s="550"/>
      <c r="H22" s="116" t="s">
        <v>241</v>
      </c>
      <c r="J22" s="550">
        <f>'Rates Comp'!L31</f>
        <v>136.09</v>
      </c>
      <c r="K22" s="550"/>
      <c r="L22" s="116" t="s">
        <v>241</v>
      </c>
      <c r="N22" s="550">
        <f>J22-F22</f>
        <v>34.650000000000006</v>
      </c>
      <c r="O22" s="550"/>
      <c r="P22" s="585">
        <f>ROUND(N22/F22,4)</f>
        <v>0.34160000000000001</v>
      </c>
      <c r="Q22" s="402"/>
      <c r="R22" s="142">
        <f>F61</f>
        <v>44390</v>
      </c>
      <c r="S22" s="142">
        <f>D22</f>
        <v>16000</v>
      </c>
      <c r="U22" s="404">
        <f>F22</f>
        <v>101.44</v>
      </c>
      <c r="V22" s="404">
        <f>J22</f>
        <v>136.09</v>
      </c>
      <c r="X22" s="501"/>
    </row>
    <row r="23" spans="2:24" x14ac:dyDescent="0.4">
      <c r="B23" s="153"/>
      <c r="C23" s="116" t="s">
        <v>52</v>
      </c>
      <c r="D23" s="142">
        <v>34000</v>
      </c>
      <c r="E23" s="514" t="s">
        <v>188</v>
      </c>
      <c r="F23" s="577">
        <f>'Yr 1 Rate Comp'!F32</f>
        <v>5.2399999999999999E-3</v>
      </c>
      <c r="G23" s="551"/>
      <c r="H23" s="116" t="s">
        <v>240</v>
      </c>
      <c r="J23" s="577">
        <f>'Rates Comp'!L38</f>
        <v>7.0200000000000002E-3</v>
      </c>
      <c r="K23" s="551"/>
      <c r="L23" s="116" t="s">
        <v>240</v>
      </c>
      <c r="N23" s="551">
        <f>J23-F23</f>
        <v>1.7800000000000003E-3</v>
      </c>
      <c r="O23" s="550"/>
      <c r="P23" s="585">
        <f t="shared" ref="P23:P25" si="3">ROUND(N23/F23,4)</f>
        <v>0.3397</v>
      </c>
      <c r="Q23" s="402"/>
      <c r="S23" s="553">
        <f>R22-S22</f>
        <v>28390</v>
      </c>
      <c r="U23" s="116">
        <f>ROUND(S23*F23,2)</f>
        <v>148.76</v>
      </c>
      <c r="V23" s="116">
        <f>ROUND(S23*J23,2)</f>
        <v>199.3</v>
      </c>
      <c r="X23" s="501"/>
    </row>
    <row r="24" spans="2:24" x14ac:dyDescent="0.4">
      <c r="B24" s="153"/>
      <c r="C24" s="116" t="s">
        <v>52</v>
      </c>
      <c r="D24" s="142">
        <v>50000</v>
      </c>
      <c r="E24" s="514" t="s">
        <v>188</v>
      </c>
      <c r="F24" s="577">
        <f>'Yr 1 Rate Comp'!F33</f>
        <v>4.5100000000000001E-3</v>
      </c>
      <c r="G24" s="551"/>
      <c r="H24" s="116" t="s">
        <v>240</v>
      </c>
      <c r="J24" s="577">
        <f>'Rates Comp'!L39</f>
        <v>6.0400000000000002E-3</v>
      </c>
      <c r="K24" s="551"/>
      <c r="L24" s="116" t="s">
        <v>240</v>
      </c>
      <c r="N24" s="551">
        <f t="shared" ref="N24:N25" si="4">J24-F24</f>
        <v>1.5300000000000001E-3</v>
      </c>
      <c r="O24" s="550"/>
      <c r="P24" s="585">
        <f t="shared" si="3"/>
        <v>0.3392</v>
      </c>
      <c r="Q24" s="402"/>
      <c r="S24" s="142">
        <f>SUM(S22:S23)</f>
        <v>44390</v>
      </c>
      <c r="U24" s="404">
        <f>SUM(U22:U23)</f>
        <v>250.2</v>
      </c>
      <c r="V24" s="404">
        <f>SUM(V22:V23)</f>
        <v>335.39</v>
      </c>
      <c r="W24" s="404">
        <f>V24-U24</f>
        <v>85.19</v>
      </c>
      <c r="X24" s="554">
        <f>ROUND(W24/U24,2)</f>
        <v>0.34</v>
      </c>
    </row>
    <row r="25" spans="2:24" x14ac:dyDescent="0.4">
      <c r="B25" s="153"/>
      <c r="C25" s="116" t="s">
        <v>114</v>
      </c>
      <c r="D25" s="142">
        <f>SUM(D21:D24)</f>
        <v>100000</v>
      </c>
      <c r="E25" s="514" t="s">
        <v>188</v>
      </c>
      <c r="F25" s="577">
        <f>'Yr 1 Rate Comp'!F34</f>
        <v>3.7599999999999999E-3</v>
      </c>
      <c r="G25" s="551"/>
      <c r="H25" s="116" t="s">
        <v>240</v>
      </c>
      <c r="J25" s="577">
        <f>'Rates Comp'!L40</f>
        <v>5.0300000000000006E-3</v>
      </c>
      <c r="K25" s="551"/>
      <c r="L25" s="116" t="s">
        <v>240</v>
      </c>
      <c r="N25" s="551">
        <f t="shared" si="4"/>
        <v>1.2700000000000007E-3</v>
      </c>
      <c r="O25" s="550"/>
      <c r="P25" s="585">
        <f t="shared" si="3"/>
        <v>0.33779999999999999</v>
      </c>
      <c r="Q25" s="402"/>
    </row>
    <row r="26" spans="2:24" x14ac:dyDescent="0.4">
      <c r="B26" s="153"/>
      <c r="C26" s="592" t="s">
        <v>337</v>
      </c>
      <c r="D26" s="142"/>
      <c r="Q26" s="402"/>
    </row>
    <row r="27" spans="2:24" x14ac:dyDescent="0.4">
      <c r="B27" s="153"/>
      <c r="C27" s="116" t="s">
        <v>51</v>
      </c>
      <c r="D27" s="142">
        <v>25000</v>
      </c>
      <c r="E27" s="116" t="s">
        <v>188</v>
      </c>
      <c r="F27" s="404">
        <f>'Yr 1 Rate Comp'!F37</f>
        <v>164.67</v>
      </c>
      <c r="H27" s="116" t="s">
        <v>241</v>
      </c>
      <c r="J27" s="404">
        <f>'Rates Comp'!L37</f>
        <v>220.93</v>
      </c>
      <c r="L27" s="116" t="s">
        <v>241</v>
      </c>
      <c r="N27" s="550">
        <f>J27-F27</f>
        <v>56.260000000000019</v>
      </c>
      <c r="O27" s="550"/>
      <c r="P27" s="585">
        <f>ROUND(N27/F27,4)</f>
        <v>0.3417</v>
      </c>
      <c r="Q27" s="402"/>
    </row>
    <row r="28" spans="2:24" x14ac:dyDescent="0.4">
      <c r="B28" s="153"/>
      <c r="C28" s="116" t="s">
        <v>52</v>
      </c>
      <c r="D28" s="142">
        <v>25000</v>
      </c>
      <c r="E28" s="116" t="s">
        <v>188</v>
      </c>
      <c r="F28" s="576">
        <f>'Yr 1 Rate Comp'!F38</f>
        <v>5.2399999999999999E-3</v>
      </c>
      <c r="H28" s="116" t="s">
        <v>240</v>
      </c>
      <c r="J28" s="577">
        <f>'Rates Comp'!L38</f>
        <v>7.0200000000000002E-3</v>
      </c>
      <c r="L28" s="116" t="s">
        <v>240</v>
      </c>
      <c r="N28" s="551">
        <f>J28-F28</f>
        <v>1.7800000000000003E-3</v>
      </c>
      <c r="O28" s="550"/>
      <c r="P28" s="585">
        <f t="shared" ref="P28:P30" si="5">ROUND(N28/F28,4)</f>
        <v>0.3397</v>
      </c>
      <c r="Q28" s="402"/>
    </row>
    <row r="29" spans="2:24" x14ac:dyDescent="0.4">
      <c r="B29" s="153"/>
      <c r="C29" s="116" t="s">
        <v>52</v>
      </c>
      <c r="D29" s="142">
        <v>50000</v>
      </c>
      <c r="E29" s="116" t="s">
        <v>188</v>
      </c>
      <c r="F29" s="576">
        <f>'Yr 1 Rate Comp'!F39</f>
        <v>4.5100000000000001E-3</v>
      </c>
      <c r="H29" s="116" t="s">
        <v>240</v>
      </c>
      <c r="J29" s="577">
        <f>'Rates Comp'!L39</f>
        <v>6.0400000000000002E-3</v>
      </c>
      <c r="L29" s="116" t="s">
        <v>240</v>
      </c>
      <c r="N29" s="551">
        <f t="shared" ref="N29:N30" si="6">J29-F29</f>
        <v>1.5300000000000001E-3</v>
      </c>
      <c r="O29" s="550"/>
      <c r="P29" s="585">
        <f t="shared" si="5"/>
        <v>0.3392</v>
      </c>
      <c r="Q29" s="402"/>
    </row>
    <row r="30" spans="2:24" x14ac:dyDescent="0.4">
      <c r="B30" s="153"/>
      <c r="C30" s="116" t="s">
        <v>114</v>
      </c>
      <c r="D30" s="142">
        <f>SUM(D26:D29)</f>
        <v>100000</v>
      </c>
      <c r="E30" s="116" t="s">
        <v>188</v>
      </c>
      <c r="F30" s="576">
        <f>'Yr 1 Rate Comp'!F40</f>
        <v>3.7599999999999999E-3</v>
      </c>
      <c r="H30" s="116" t="s">
        <v>240</v>
      </c>
      <c r="J30" s="577">
        <f>'Rates Comp'!L40</f>
        <v>5.0300000000000006E-3</v>
      </c>
      <c r="L30" s="116" t="s">
        <v>240</v>
      </c>
      <c r="N30" s="551">
        <f t="shared" si="6"/>
        <v>1.2700000000000007E-3</v>
      </c>
      <c r="O30" s="550"/>
      <c r="P30" s="585">
        <f t="shared" si="5"/>
        <v>0.33779999999999999</v>
      </c>
      <c r="Q30" s="402"/>
    </row>
    <row r="31" spans="2:24" x14ac:dyDescent="0.4">
      <c r="B31" s="153"/>
      <c r="C31" s="592" t="s">
        <v>338</v>
      </c>
      <c r="D31" s="142"/>
      <c r="Q31" s="402"/>
    </row>
    <row r="32" spans="2:24" x14ac:dyDescent="0.4">
      <c r="B32" s="153"/>
      <c r="C32" s="116" t="s">
        <v>51</v>
      </c>
      <c r="D32" s="142">
        <v>30000</v>
      </c>
      <c r="E32" s="514" t="s">
        <v>188</v>
      </c>
      <c r="F32" s="550">
        <f>'Yr 1 Rate Comp'!F43</f>
        <v>227.81</v>
      </c>
      <c r="G32" s="550"/>
      <c r="H32" s="116" t="s">
        <v>241</v>
      </c>
      <c r="J32" s="550">
        <f>'Rates Comp'!L43</f>
        <v>305.64</v>
      </c>
      <c r="K32" s="550"/>
      <c r="L32" s="116" t="s">
        <v>241</v>
      </c>
      <c r="N32" s="550">
        <f>J32-F32</f>
        <v>77.829999999999984</v>
      </c>
      <c r="O32" s="550"/>
      <c r="P32" s="585">
        <f>ROUND(N32/F32,4)</f>
        <v>0.34160000000000001</v>
      </c>
      <c r="Q32" s="402"/>
      <c r="S32" s="142">
        <f>D32</f>
        <v>30000</v>
      </c>
      <c r="U32" s="404">
        <f>F32</f>
        <v>227.81</v>
      </c>
      <c r="V32" s="404">
        <f>J32</f>
        <v>305.64</v>
      </c>
      <c r="X32" s="501"/>
    </row>
    <row r="33" spans="2:24" x14ac:dyDescent="0.4">
      <c r="B33" s="153"/>
      <c r="C33" s="116" t="s">
        <v>52</v>
      </c>
      <c r="D33" s="142">
        <v>20000</v>
      </c>
      <c r="E33" s="514" t="s">
        <v>188</v>
      </c>
      <c r="F33" s="577">
        <f>'Yr 1 Rate Comp'!F44</f>
        <v>5.2399999999999999E-3</v>
      </c>
      <c r="G33" s="551"/>
      <c r="H33" s="116" t="s">
        <v>240</v>
      </c>
      <c r="J33" s="577">
        <f>'Rates Comp'!L44</f>
        <v>7.0200000000000002E-3</v>
      </c>
      <c r="K33" s="551"/>
      <c r="L33" s="116" t="s">
        <v>240</v>
      </c>
      <c r="N33" s="551">
        <f>J33-F33</f>
        <v>1.7800000000000003E-3</v>
      </c>
      <c r="O33" s="550"/>
      <c r="P33" s="585">
        <f t="shared" ref="P33:P35" si="7">ROUND(N33/F33,4)</f>
        <v>0.3397</v>
      </c>
      <c r="Q33" s="402"/>
      <c r="S33" s="142">
        <f>D33</f>
        <v>20000</v>
      </c>
      <c r="U33" s="116">
        <f>ROUND(S33*F33,2)</f>
        <v>104.8</v>
      </c>
      <c r="V33" s="116">
        <f>ROUND(S33*J33,2)</f>
        <v>140.4</v>
      </c>
      <c r="X33" s="501"/>
    </row>
    <row r="34" spans="2:24" x14ac:dyDescent="0.4">
      <c r="B34" s="153"/>
      <c r="C34" s="116" t="s">
        <v>52</v>
      </c>
      <c r="D34" s="142">
        <v>50000</v>
      </c>
      <c r="E34" s="514" t="s">
        <v>188</v>
      </c>
      <c r="F34" s="577">
        <f>'Yr 1 Rate Comp'!F45</f>
        <v>4.5100000000000001E-3</v>
      </c>
      <c r="G34" s="551"/>
      <c r="H34" s="116" t="s">
        <v>240</v>
      </c>
      <c r="J34" s="577">
        <f>'Rates Comp'!L45</f>
        <v>6.0400000000000002E-3</v>
      </c>
      <c r="K34" s="551"/>
      <c r="L34" s="116" t="s">
        <v>240</v>
      </c>
      <c r="N34" s="551">
        <f t="shared" ref="N34:N35" si="8">J34-F34</f>
        <v>1.5300000000000001E-3</v>
      </c>
      <c r="O34" s="550"/>
      <c r="P34" s="585">
        <f t="shared" si="7"/>
        <v>0.3392</v>
      </c>
      <c r="Q34" s="402"/>
      <c r="S34" s="142">
        <f>F62-S32-S33</f>
        <v>30347</v>
      </c>
      <c r="U34" s="116">
        <f>ROUND(S34*F34,2)</f>
        <v>136.86000000000001</v>
      </c>
      <c r="V34" s="116">
        <f>ROUND(S34*J34,2)</f>
        <v>183.3</v>
      </c>
    </row>
    <row r="35" spans="2:24" x14ac:dyDescent="0.4">
      <c r="B35" s="153"/>
      <c r="C35" s="116" t="s">
        <v>114</v>
      </c>
      <c r="D35" s="142">
        <f>SUM(D31:D34)</f>
        <v>100000</v>
      </c>
      <c r="E35" s="514" t="s">
        <v>188</v>
      </c>
      <c r="F35" s="577">
        <f>'Yr 1 Rate Comp'!F46</f>
        <v>3.7599999999999999E-3</v>
      </c>
      <c r="G35" s="551"/>
      <c r="H35" s="116" t="s">
        <v>240</v>
      </c>
      <c r="J35" s="577">
        <f>'Rates Comp'!L46</f>
        <v>5.0300000000000006E-3</v>
      </c>
      <c r="K35" s="551"/>
      <c r="L35" s="116" t="s">
        <v>240</v>
      </c>
      <c r="N35" s="551">
        <f t="shared" si="8"/>
        <v>1.2700000000000007E-3</v>
      </c>
      <c r="O35" s="550"/>
      <c r="P35" s="585">
        <f t="shared" si="7"/>
        <v>0.33779999999999999</v>
      </c>
      <c r="Q35" s="402"/>
      <c r="U35" s="404">
        <f>SUM(U32:U34)</f>
        <v>469.47</v>
      </c>
      <c r="V35" s="404">
        <f>SUM(V32:V34)</f>
        <v>629.33999999999992</v>
      </c>
      <c r="W35" s="404">
        <f>V35-U35</f>
        <v>159.86999999999989</v>
      </c>
      <c r="X35" s="554">
        <f>ROUND(W35/U35,2)</f>
        <v>0.34</v>
      </c>
    </row>
    <row r="36" spans="2:24" ht="15.75" x14ac:dyDescent="0.5">
      <c r="B36" s="153"/>
      <c r="C36" s="592" t="s">
        <v>339</v>
      </c>
      <c r="D36" s="142"/>
      <c r="H36" s="14"/>
      <c r="J36" s="142"/>
      <c r="N36" s="551"/>
      <c r="O36" s="551"/>
      <c r="P36" s="551"/>
      <c r="Q36" s="402"/>
      <c r="X36" s="501"/>
    </row>
    <row r="37" spans="2:24" x14ac:dyDescent="0.4">
      <c r="B37" s="153"/>
      <c r="C37" s="116" t="s">
        <v>51</v>
      </c>
      <c r="D37" s="142">
        <v>60000</v>
      </c>
      <c r="E37" s="116" t="s">
        <v>188</v>
      </c>
      <c r="F37" s="404">
        <v>397.91</v>
      </c>
      <c r="H37" s="116" t="s">
        <v>241</v>
      </c>
      <c r="J37" s="550">
        <f>'Rates Comp'!L49</f>
        <v>533.87</v>
      </c>
      <c r="L37" s="116" t="s">
        <v>241</v>
      </c>
      <c r="N37" s="550">
        <f>J37-F37</f>
        <v>135.95999999999998</v>
      </c>
      <c r="O37" s="550"/>
      <c r="P37" s="585">
        <f t="shared" ref="P37:P39" si="9">ROUND(N37/F37,4)</f>
        <v>0.3417</v>
      </c>
      <c r="Q37" s="402"/>
      <c r="S37" s="142">
        <f>F63</f>
        <v>39917</v>
      </c>
      <c r="X37" s="501"/>
    </row>
    <row r="38" spans="2:24" x14ac:dyDescent="0.4">
      <c r="B38" s="153"/>
      <c r="C38" s="116" t="s">
        <v>52</v>
      </c>
      <c r="D38" s="142">
        <v>40000</v>
      </c>
      <c r="E38" s="116" t="s">
        <v>188</v>
      </c>
      <c r="F38" s="576">
        <f>'Yr 1 Rate Comp'!F50</f>
        <v>4.5100000000000001E-3</v>
      </c>
      <c r="H38" s="116" t="s">
        <v>240</v>
      </c>
      <c r="J38" s="577">
        <f>'Rates Comp'!L50</f>
        <v>6.0400000000000002E-3</v>
      </c>
      <c r="L38" s="116" t="s">
        <v>240</v>
      </c>
      <c r="N38" s="551">
        <f>J38-F38</f>
        <v>1.5300000000000001E-3</v>
      </c>
      <c r="O38" s="550"/>
      <c r="P38" s="585">
        <f t="shared" si="9"/>
        <v>0.3392</v>
      </c>
      <c r="Q38" s="402"/>
      <c r="X38" s="501"/>
    </row>
    <row r="39" spans="2:24" x14ac:dyDescent="0.4">
      <c r="B39" s="153"/>
      <c r="C39" s="116" t="s">
        <v>114</v>
      </c>
      <c r="D39" s="142">
        <f>SUM(D36:D38)</f>
        <v>100000</v>
      </c>
      <c r="E39" s="116" t="s">
        <v>188</v>
      </c>
      <c r="F39" s="576">
        <f>'Yr 1 Rate Comp'!F51</f>
        <v>3.7599999999999999E-3</v>
      </c>
      <c r="H39" s="116" t="s">
        <v>240</v>
      </c>
      <c r="J39" s="577">
        <f>'Rates Comp'!L51</f>
        <v>5.0300000000000006E-3</v>
      </c>
      <c r="L39" s="116" t="s">
        <v>240</v>
      </c>
      <c r="N39" s="551">
        <f t="shared" ref="N39" si="10">J39-F39</f>
        <v>1.2700000000000007E-3</v>
      </c>
      <c r="O39" s="550"/>
      <c r="P39" s="585">
        <f t="shared" si="9"/>
        <v>0.33779999999999999</v>
      </c>
      <c r="Q39" s="402"/>
      <c r="X39" s="501"/>
    </row>
    <row r="40" spans="2:24" x14ac:dyDescent="0.4">
      <c r="B40" s="153"/>
      <c r="C40" s="517" t="s">
        <v>710</v>
      </c>
      <c r="E40" s="514"/>
      <c r="F40" s="551"/>
      <c r="G40" s="551"/>
      <c r="J40" s="577"/>
      <c r="N40" s="551"/>
      <c r="O40" s="551"/>
      <c r="P40" s="551"/>
      <c r="Q40" s="402"/>
      <c r="X40" s="501"/>
    </row>
    <row r="41" spans="2:24" x14ac:dyDescent="0.4">
      <c r="B41" s="153"/>
      <c r="C41" s="116" t="s">
        <v>51</v>
      </c>
      <c r="D41" s="142">
        <v>80000</v>
      </c>
      <c r="E41" s="116" t="s">
        <v>188</v>
      </c>
      <c r="F41" s="404">
        <f>'Yr 1 Rate Comp'!F54</f>
        <v>504.71</v>
      </c>
      <c r="G41" s="551"/>
      <c r="H41" s="116" t="s">
        <v>241</v>
      </c>
      <c r="J41" s="550">
        <f>'Rates Comp'!L54</f>
        <v>677.16</v>
      </c>
      <c r="L41" s="116" t="s">
        <v>241</v>
      </c>
      <c r="N41" s="550">
        <f>J41-F41</f>
        <v>172.45</v>
      </c>
      <c r="O41" s="550"/>
      <c r="P41" s="585">
        <f t="shared" ref="P41:P43" si="11">ROUND(N41/F41,4)</f>
        <v>0.3417</v>
      </c>
      <c r="Q41" s="402"/>
      <c r="X41" s="501"/>
    </row>
    <row r="42" spans="2:24" x14ac:dyDescent="0.4">
      <c r="B42" s="153"/>
      <c r="C42" s="116" t="s">
        <v>52</v>
      </c>
      <c r="D42" s="142">
        <v>20000</v>
      </c>
      <c r="E42" s="116" t="s">
        <v>188</v>
      </c>
      <c r="F42" s="576">
        <f>'Yr 1 Rate Comp'!F55</f>
        <v>4.5100000000000001E-3</v>
      </c>
      <c r="G42" s="551"/>
      <c r="H42" s="116" t="s">
        <v>240</v>
      </c>
      <c r="J42" s="577">
        <f>'Rates Comp'!L55</f>
        <v>6.0400000000000002E-3</v>
      </c>
      <c r="L42" s="116" t="s">
        <v>240</v>
      </c>
      <c r="N42" s="551">
        <f>J42-F42</f>
        <v>1.5300000000000001E-3</v>
      </c>
      <c r="O42" s="550"/>
      <c r="P42" s="585">
        <f t="shared" si="11"/>
        <v>0.3392</v>
      </c>
      <c r="Q42" s="402"/>
      <c r="X42" s="501"/>
    </row>
    <row r="43" spans="2:24" x14ac:dyDescent="0.4">
      <c r="B43" s="153"/>
      <c r="C43" s="116" t="s">
        <v>114</v>
      </c>
      <c r="D43" s="142">
        <f>SUM(D40:D42)</f>
        <v>100000</v>
      </c>
      <c r="E43" s="116" t="s">
        <v>188</v>
      </c>
      <c r="F43" s="576">
        <f>'Yr 1 Rate Comp'!F56</f>
        <v>3.7599999999999999E-3</v>
      </c>
      <c r="G43" s="550"/>
      <c r="H43" s="116" t="s">
        <v>240</v>
      </c>
      <c r="J43" s="577">
        <f>'Rates Comp'!L56</f>
        <v>5.0300000000000006E-3</v>
      </c>
      <c r="L43" s="116" t="s">
        <v>240</v>
      </c>
      <c r="N43" s="551">
        <f t="shared" ref="N43" si="12">J43-F43</f>
        <v>1.2700000000000007E-3</v>
      </c>
      <c r="O43" s="550"/>
      <c r="P43" s="585">
        <f t="shared" si="11"/>
        <v>0.33779999999999999</v>
      </c>
      <c r="Q43" s="402"/>
      <c r="S43" s="142">
        <f>F63</f>
        <v>39917</v>
      </c>
      <c r="U43" s="404">
        <f>F43</f>
        <v>3.7599999999999999E-3</v>
      </c>
      <c r="V43" s="404">
        <f>J43</f>
        <v>5.0300000000000006E-3</v>
      </c>
      <c r="X43" s="501"/>
    </row>
    <row r="44" spans="2:24" x14ac:dyDescent="0.4">
      <c r="B44" s="153"/>
      <c r="C44" s="592" t="s">
        <v>460</v>
      </c>
      <c r="F44" s="551"/>
      <c r="G44" s="551"/>
      <c r="N44" s="551"/>
      <c r="O44" s="551"/>
      <c r="P44" s="551"/>
      <c r="Q44" s="402"/>
      <c r="X44" s="501"/>
    </row>
    <row r="45" spans="2:24" x14ac:dyDescent="0.4">
      <c r="B45" s="153"/>
      <c r="C45" s="588" t="s">
        <v>716</v>
      </c>
      <c r="F45" s="404">
        <f>'Rates Comp'!F59</f>
        <v>17.53</v>
      </c>
      <c r="G45" s="551"/>
      <c r="J45" s="404">
        <f>'Rates Comp'!L59</f>
        <v>23.51</v>
      </c>
      <c r="N45" s="551">
        <f t="shared" ref="N45:N49" si="13">J45-F45</f>
        <v>5.98</v>
      </c>
      <c r="O45" s="550"/>
      <c r="P45" s="585">
        <f t="shared" ref="P45:P52" si="14">ROUND(N45/F45,4)</f>
        <v>0.34110000000000001</v>
      </c>
      <c r="Q45" s="402"/>
      <c r="X45" s="501"/>
    </row>
    <row r="46" spans="2:24" x14ac:dyDescent="0.4">
      <c r="B46" s="153"/>
      <c r="C46" s="588" t="s">
        <v>717</v>
      </c>
      <c r="F46" s="404">
        <f>'Rates Comp'!F60</f>
        <v>26.2</v>
      </c>
      <c r="G46" s="551"/>
      <c r="J46" s="404">
        <f>'Rates Comp'!L60</f>
        <v>35.14</v>
      </c>
      <c r="N46" s="551">
        <f t="shared" si="13"/>
        <v>8.9400000000000013</v>
      </c>
      <c r="O46" s="550"/>
      <c r="P46" s="585">
        <f t="shared" si="14"/>
        <v>0.3412</v>
      </c>
      <c r="Q46" s="402"/>
      <c r="X46" s="501"/>
    </row>
    <row r="47" spans="2:24" x14ac:dyDescent="0.4">
      <c r="B47" s="153"/>
      <c r="C47" s="588" t="s">
        <v>357</v>
      </c>
      <c r="F47" s="404">
        <f>'Rates Comp'!F61</f>
        <v>68.05</v>
      </c>
      <c r="G47" s="551"/>
      <c r="J47" s="404">
        <f>'Rates Comp'!L61</f>
        <v>91.289999999999992</v>
      </c>
      <c r="N47" s="551">
        <f t="shared" si="13"/>
        <v>23.239999999999995</v>
      </c>
      <c r="O47" s="550"/>
      <c r="P47" s="585">
        <f t="shared" si="14"/>
        <v>0.34150000000000003</v>
      </c>
      <c r="Q47" s="402"/>
      <c r="X47" s="501"/>
    </row>
    <row r="48" spans="2:24" x14ac:dyDescent="0.4">
      <c r="B48" s="153"/>
      <c r="C48" s="588" t="s">
        <v>345</v>
      </c>
      <c r="F48" s="404">
        <f>'Rates Comp'!F62</f>
        <v>147.91999999999999</v>
      </c>
      <c r="G48" s="551"/>
      <c r="J48" s="404">
        <f>'Rates Comp'!L62</f>
        <v>198.45998999999998</v>
      </c>
      <c r="N48" s="551">
        <f t="shared" si="13"/>
        <v>50.539989999999989</v>
      </c>
      <c r="O48" s="550"/>
      <c r="P48" s="585">
        <f t="shared" si="14"/>
        <v>0.3417</v>
      </c>
      <c r="Q48" s="402"/>
      <c r="X48" s="501"/>
    </row>
    <row r="49" spans="2:24" x14ac:dyDescent="0.4">
      <c r="B49" s="153"/>
      <c r="C49" s="588" t="s">
        <v>346</v>
      </c>
      <c r="F49" s="404">
        <f>'Rates Comp'!F63</f>
        <v>340.77</v>
      </c>
      <c r="G49" s="551"/>
      <c r="J49" s="404">
        <f>'Rates Comp'!L63</f>
        <v>457.20999</v>
      </c>
      <c r="N49" s="551">
        <f t="shared" si="13"/>
        <v>116.43999000000002</v>
      </c>
      <c r="O49" s="550"/>
      <c r="P49" s="585">
        <f t="shared" si="14"/>
        <v>0.3417</v>
      </c>
      <c r="Q49" s="402"/>
      <c r="X49" s="501"/>
    </row>
    <row r="50" spans="2:24" x14ac:dyDescent="0.4">
      <c r="B50" s="153"/>
      <c r="C50" s="588" t="s">
        <v>710</v>
      </c>
      <c r="D50" s="578"/>
      <c r="E50" s="578"/>
      <c r="F50" s="404">
        <f>'Rates Comp'!F64</f>
        <v>658.17</v>
      </c>
      <c r="G50" s="551"/>
      <c r="J50" s="404">
        <f>'Rates Comp'!L64</f>
        <v>883.06</v>
      </c>
      <c r="K50" s="551"/>
      <c r="N50" s="551">
        <f>J50-F50</f>
        <v>224.89</v>
      </c>
      <c r="O50" s="550"/>
      <c r="P50" s="585">
        <f t="shared" si="14"/>
        <v>0.3417</v>
      </c>
      <c r="Q50" s="402"/>
      <c r="S50" s="142">
        <f>F64</f>
        <v>0</v>
      </c>
      <c r="U50" s="404">
        <f>ROUND(S50*F50,2)</f>
        <v>0</v>
      </c>
      <c r="V50" s="404">
        <f>ROUND(S50*J50,2)</f>
        <v>0</v>
      </c>
      <c r="W50" s="404">
        <f>V50-U50</f>
        <v>0</v>
      </c>
      <c r="X50" s="554" t="e">
        <f>ROUND(W50/U50,2)</f>
        <v>#DIV/0!</v>
      </c>
    </row>
    <row r="51" spans="2:24" x14ac:dyDescent="0.4">
      <c r="B51" s="153"/>
      <c r="C51" s="588" t="s">
        <v>718</v>
      </c>
      <c r="F51" s="404">
        <f>'Rates Comp'!F65</f>
        <v>1139.7</v>
      </c>
      <c r="J51" s="404">
        <f>'Rates Comp'!L65</f>
        <v>1529.13</v>
      </c>
      <c r="N51" s="551">
        <f t="shared" ref="N51:N52" si="15">J51-F51</f>
        <v>389.43000000000006</v>
      </c>
      <c r="O51" s="550"/>
      <c r="P51" s="585">
        <f t="shared" si="14"/>
        <v>0.3417</v>
      </c>
      <c r="Q51" s="402"/>
    </row>
    <row r="52" spans="2:24" x14ac:dyDescent="0.4">
      <c r="B52" s="154"/>
      <c r="C52" s="589" t="s">
        <v>719</v>
      </c>
      <c r="D52" s="310"/>
      <c r="E52" s="310"/>
      <c r="F52" s="580">
        <f>'Rates Comp'!F66</f>
        <v>1799.31</v>
      </c>
      <c r="G52" s="310"/>
      <c r="H52" s="310"/>
      <c r="I52" s="310"/>
      <c r="J52" s="580">
        <f>'Rates Comp'!L66</f>
        <v>2414.12</v>
      </c>
      <c r="K52" s="310"/>
      <c r="L52" s="310"/>
      <c r="M52" s="310"/>
      <c r="N52" s="581">
        <f t="shared" si="15"/>
        <v>614.80999999999995</v>
      </c>
      <c r="O52" s="582"/>
      <c r="P52" s="516">
        <f t="shared" si="14"/>
        <v>0.3417</v>
      </c>
      <c r="Q52" s="408"/>
    </row>
    <row r="54" spans="2:24" x14ac:dyDescent="0.4">
      <c r="B54" s="152"/>
      <c r="C54" s="661" t="s">
        <v>682</v>
      </c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401"/>
    </row>
    <row r="55" spans="2:24" x14ac:dyDescent="0.4">
      <c r="B55" s="153"/>
      <c r="F55" s="230" t="s">
        <v>683</v>
      </c>
      <c r="G55" s="230"/>
      <c r="H55" s="230" t="s">
        <v>684</v>
      </c>
      <c r="J55" s="230" t="s">
        <v>721</v>
      </c>
      <c r="K55" s="230"/>
      <c r="O55" s="402"/>
    </row>
    <row r="56" spans="2:24" x14ac:dyDescent="0.4">
      <c r="B56" s="153"/>
      <c r="F56" s="230" t="s">
        <v>145</v>
      </c>
      <c r="G56" s="230"/>
      <c r="H56" s="230" t="s">
        <v>145</v>
      </c>
      <c r="J56" s="230" t="s">
        <v>145</v>
      </c>
      <c r="K56" s="230"/>
      <c r="L56" s="657" t="s">
        <v>237</v>
      </c>
      <c r="M56" s="657"/>
      <c r="N56" s="657"/>
      <c r="O56" s="402"/>
    </row>
    <row r="57" spans="2:24" x14ac:dyDescent="0.4">
      <c r="B57" s="153"/>
      <c r="F57" s="243" t="s">
        <v>685</v>
      </c>
      <c r="G57" s="230"/>
      <c r="H57" s="243" t="s">
        <v>187</v>
      </c>
      <c r="J57" s="243" t="s">
        <v>187</v>
      </c>
      <c r="K57" s="230"/>
      <c r="L57" s="243" t="s">
        <v>681</v>
      </c>
      <c r="N57" s="243" t="s">
        <v>232</v>
      </c>
      <c r="O57" s="402"/>
    </row>
    <row r="58" spans="2:24" x14ac:dyDescent="0.4">
      <c r="B58" s="153"/>
      <c r="C58" s="142" t="s">
        <v>720</v>
      </c>
      <c r="F58" s="142">
        <f>ROUND('Prop BA - Yr 1'!G50/'Prop BA - Yr 1'!F45,0)</f>
        <v>4008</v>
      </c>
      <c r="G58" s="230"/>
      <c r="H58" s="404">
        <f>U7</f>
        <v>32.229999999999997</v>
      </c>
      <c r="J58" s="404">
        <f>V7</f>
        <v>43.21</v>
      </c>
      <c r="K58" s="230"/>
      <c r="L58" s="404">
        <f>J58-H58</f>
        <v>10.980000000000004</v>
      </c>
      <c r="N58" s="591">
        <f>ROUND(L58/H58,4)</f>
        <v>0.3407</v>
      </c>
      <c r="O58" s="402"/>
    </row>
    <row r="59" spans="2:24" x14ac:dyDescent="0.4">
      <c r="B59" s="153"/>
      <c r="C59" s="142" t="s">
        <v>334</v>
      </c>
      <c r="F59" s="142">
        <f>ROUND('Prop BA - Yr 1'!G70/'Prop BA - Yr 1'!F65,0)</f>
        <v>21116</v>
      </c>
      <c r="G59" s="230"/>
      <c r="H59" s="404">
        <f>U14</f>
        <v>123.78999999999999</v>
      </c>
      <c r="J59" s="404">
        <f>V14</f>
        <v>165.91</v>
      </c>
      <c r="K59" s="230"/>
      <c r="L59" s="404">
        <f t="shared" ref="L59:L65" si="16">J59-H59</f>
        <v>42.120000000000005</v>
      </c>
      <c r="N59" s="585">
        <f t="shared" ref="N59:N65" si="17">ROUND(L59/H59,4)</f>
        <v>0.34029999999999999</v>
      </c>
      <c r="O59" s="402"/>
    </row>
    <row r="60" spans="2:24" x14ac:dyDescent="0.4">
      <c r="B60" s="153"/>
      <c r="C60" s="142" t="s">
        <v>686</v>
      </c>
      <c r="F60" s="142">
        <f>ROUND('Prop BA - Yr 1'!G85/'Prop BA - Yr 1'!F81,0)</f>
        <v>213248</v>
      </c>
      <c r="G60" s="230"/>
      <c r="H60" s="404">
        <f>U20</f>
        <v>930.02</v>
      </c>
      <c r="J60" s="404">
        <f>V20</f>
        <v>1245.1500000000001</v>
      </c>
      <c r="K60" s="230"/>
      <c r="L60" s="404">
        <f t="shared" si="16"/>
        <v>315.13000000000011</v>
      </c>
      <c r="N60" s="585">
        <f t="shared" si="17"/>
        <v>0.33879999999999999</v>
      </c>
      <c r="O60" s="402"/>
    </row>
    <row r="61" spans="2:24" x14ac:dyDescent="0.4">
      <c r="B61" s="153"/>
      <c r="C61" s="142" t="s">
        <v>336</v>
      </c>
      <c r="F61" s="142">
        <f>ROUND('Prop BA - Yr 1'!G100/'Prop BA - Yr 1'!F96,0)</f>
        <v>44390</v>
      </c>
      <c r="G61" s="142"/>
      <c r="H61" s="404">
        <f>U24</f>
        <v>250.2</v>
      </c>
      <c r="J61" s="404">
        <f>V24</f>
        <v>335.39</v>
      </c>
      <c r="L61" s="404">
        <f t="shared" si="16"/>
        <v>85.19</v>
      </c>
      <c r="N61" s="585">
        <f t="shared" si="17"/>
        <v>0.34050000000000002</v>
      </c>
      <c r="O61" s="402"/>
    </row>
    <row r="62" spans="2:24" x14ac:dyDescent="0.4">
      <c r="B62" s="153"/>
      <c r="C62" s="142" t="s">
        <v>338</v>
      </c>
      <c r="F62" s="142">
        <f>ROUND('Prop BA - Yr 1'!G115/'Prop BA - Yr 1'!F111,0)</f>
        <v>80347</v>
      </c>
      <c r="G62" s="142"/>
      <c r="H62" s="404">
        <f>U35</f>
        <v>469.47</v>
      </c>
      <c r="J62" s="404">
        <f>V35</f>
        <v>629.33999999999992</v>
      </c>
      <c r="L62" s="404">
        <f t="shared" si="16"/>
        <v>159.86999999999989</v>
      </c>
      <c r="N62" s="585">
        <f t="shared" si="17"/>
        <v>0.34050000000000002</v>
      </c>
      <c r="O62" s="402"/>
    </row>
    <row r="63" spans="2:24" x14ac:dyDescent="0.4">
      <c r="B63" s="153"/>
      <c r="C63" s="142" t="s">
        <v>339</v>
      </c>
      <c r="F63" s="142">
        <f>ROUND('Prop BA - Yr 1'!G128/'Prop BA - Yr 1'!F125,0)</f>
        <v>39917</v>
      </c>
      <c r="G63" s="142"/>
      <c r="H63" s="404">
        <f>F37</f>
        <v>397.91</v>
      </c>
      <c r="J63" s="404">
        <f>J37</f>
        <v>533.87</v>
      </c>
      <c r="L63" s="404">
        <f t="shared" si="16"/>
        <v>135.95999999999998</v>
      </c>
      <c r="N63" s="585">
        <f t="shared" si="17"/>
        <v>0.3417</v>
      </c>
      <c r="O63" s="402"/>
    </row>
    <row r="64" spans="2:24" x14ac:dyDescent="0.4">
      <c r="B64" s="153"/>
      <c r="C64" s="592" t="s">
        <v>460</v>
      </c>
      <c r="F64" s="142"/>
      <c r="G64" s="142"/>
      <c r="H64" s="404"/>
      <c r="J64" s="404"/>
      <c r="L64" s="404"/>
      <c r="N64" s="585"/>
      <c r="O64" s="402"/>
    </row>
    <row r="65" spans="2:18" x14ac:dyDescent="0.4">
      <c r="B65" s="153"/>
      <c r="C65" s="588" t="s">
        <v>716</v>
      </c>
      <c r="F65" s="142"/>
      <c r="G65" s="142"/>
      <c r="H65" s="404">
        <f>F45</f>
        <v>17.53</v>
      </c>
      <c r="J65" s="404">
        <f>J45</f>
        <v>23.51</v>
      </c>
      <c r="L65" s="404">
        <f t="shared" si="16"/>
        <v>5.98</v>
      </c>
      <c r="N65" s="585">
        <f t="shared" si="17"/>
        <v>0.34110000000000001</v>
      </c>
      <c r="O65" s="402"/>
      <c r="R65" s="142"/>
    </row>
    <row r="66" spans="2:18" x14ac:dyDescent="0.4">
      <c r="B66" s="153"/>
      <c r="C66" s="588" t="s">
        <v>717</v>
      </c>
      <c r="F66" s="142"/>
      <c r="G66" s="142"/>
      <c r="H66" s="404">
        <f t="shared" ref="H66:H72" si="18">F46</f>
        <v>26.2</v>
      </c>
      <c r="J66" s="404">
        <f t="shared" ref="J66:J72" si="19">J46</f>
        <v>35.14</v>
      </c>
      <c r="L66" s="404">
        <f t="shared" ref="L66:L72" si="20">J66-H66</f>
        <v>8.9400000000000013</v>
      </c>
      <c r="N66" s="585">
        <f t="shared" ref="N66:N72" si="21">ROUND(L66/H66,4)</f>
        <v>0.3412</v>
      </c>
      <c r="O66" s="402"/>
      <c r="R66" s="142"/>
    </row>
    <row r="67" spans="2:18" x14ac:dyDescent="0.4">
      <c r="B67" s="153"/>
      <c r="C67" s="588" t="s">
        <v>357</v>
      </c>
      <c r="H67" s="404">
        <f t="shared" si="18"/>
        <v>68.05</v>
      </c>
      <c r="J67" s="404">
        <f t="shared" si="19"/>
        <v>91.289999999999992</v>
      </c>
      <c r="L67" s="404">
        <f t="shared" si="20"/>
        <v>23.239999999999995</v>
      </c>
      <c r="N67" s="585">
        <f t="shared" si="21"/>
        <v>0.34150000000000003</v>
      </c>
      <c r="O67" s="402"/>
    </row>
    <row r="68" spans="2:18" x14ac:dyDescent="0.4">
      <c r="B68" s="153"/>
      <c r="C68" s="588" t="s">
        <v>345</v>
      </c>
      <c r="H68" s="404">
        <f t="shared" si="18"/>
        <v>147.91999999999999</v>
      </c>
      <c r="J68" s="404">
        <f t="shared" si="19"/>
        <v>198.45998999999998</v>
      </c>
      <c r="L68" s="404">
        <f t="shared" si="20"/>
        <v>50.539989999999989</v>
      </c>
      <c r="N68" s="585">
        <f t="shared" si="21"/>
        <v>0.3417</v>
      </c>
      <c r="O68" s="402"/>
    </row>
    <row r="69" spans="2:18" x14ac:dyDescent="0.4">
      <c r="B69" s="153"/>
      <c r="C69" s="588" t="s">
        <v>346</v>
      </c>
      <c r="H69" s="404">
        <f t="shared" si="18"/>
        <v>340.77</v>
      </c>
      <c r="J69" s="404">
        <f t="shared" si="19"/>
        <v>457.20999</v>
      </c>
      <c r="L69" s="404">
        <f t="shared" si="20"/>
        <v>116.43999000000002</v>
      </c>
      <c r="N69" s="585">
        <f t="shared" si="21"/>
        <v>0.3417</v>
      </c>
      <c r="O69" s="402"/>
    </row>
    <row r="70" spans="2:18" x14ac:dyDescent="0.4">
      <c r="B70" s="153"/>
      <c r="C70" s="588" t="s">
        <v>710</v>
      </c>
      <c r="H70" s="404">
        <f t="shared" si="18"/>
        <v>658.17</v>
      </c>
      <c r="J70" s="404">
        <f t="shared" si="19"/>
        <v>883.06</v>
      </c>
      <c r="L70" s="404">
        <f t="shared" si="20"/>
        <v>224.89</v>
      </c>
      <c r="N70" s="585">
        <f t="shared" si="21"/>
        <v>0.3417</v>
      </c>
      <c r="O70" s="402"/>
    </row>
    <row r="71" spans="2:18" x14ac:dyDescent="0.4">
      <c r="B71" s="153"/>
      <c r="C71" s="588" t="s">
        <v>718</v>
      </c>
      <c r="H71" s="404">
        <f t="shared" si="18"/>
        <v>1139.7</v>
      </c>
      <c r="J71" s="404">
        <f t="shared" si="19"/>
        <v>1529.13</v>
      </c>
      <c r="L71" s="404">
        <f t="shared" si="20"/>
        <v>389.43000000000006</v>
      </c>
      <c r="N71" s="585">
        <f t="shared" si="21"/>
        <v>0.3417</v>
      </c>
      <c r="O71" s="402"/>
    </row>
    <row r="72" spans="2:18" x14ac:dyDescent="0.4">
      <c r="B72" s="154"/>
      <c r="C72" s="589" t="s">
        <v>719</v>
      </c>
      <c r="D72" s="310"/>
      <c r="E72" s="310"/>
      <c r="F72" s="310"/>
      <c r="G72" s="310"/>
      <c r="H72" s="580">
        <f t="shared" si="18"/>
        <v>1799.31</v>
      </c>
      <c r="I72" s="310"/>
      <c r="J72" s="580">
        <f t="shared" si="19"/>
        <v>2414.12</v>
      </c>
      <c r="K72" s="310"/>
      <c r="L72" s="580">
        <f t="shared" si="20"/>
        <v>614.80999999999995</v>
      </c>
      <c r="M72" s="310"/>
      <c r="N72" s="516">
        <f t="shared" si="21"/>
        <v>0.3417</v>
      </c>
      <c r="O72" s="408"/>
    </row>
  </sheetData>
  <mergeCells count="5">
    <mergeCell ref="N3:P3"/>
    <mergeCell ref="F4:H4"/>
    <mergeCell ref="J4:L4"/>
    <mergeCell ref="C54:N54"/>
    <mergeCell ref="L56:N5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68"/>
  <sheetViews>
    <sheetView topLeftCell="E21" zoomScale="124" zoomScaleNormal="124" workbookViewId="0">
      <selection activeCell="F59" sqref="F59:F66"/>
    </sheetView>
  </sheetViews>
  <sheetFormatPr defaultColWidth="10.77734375" defaultRowHeight="15.75" x14ac:dyDescent="0.5"/>
  <cols>
    <col min="1" max="1" width="10.77734375" style="14"/>
    <col min="2" max="2" width="1.77734375" style="14" customWidth="1"/>
    <col min="3" max="5" width="10.77734375" style="14"/>
    <col min="6" max="6" width="10.77734375" style="58"/>
    <col min="7" max="7" width="10.77734375" style="14"/>
    <col min="8" max="8" width="1.77734375" style="14" customWidth="1"/>
    <col min="9" max="11" width="10.77734375" style="14"/>
    <col min="12" max="12" width="10.77734375" style="58"/>
    <col min="13" max="13" width="10.77734375" style="14"/>
    <col min="14" max="14" width="1.77734375" style="14" customWidth="1"/>
    <col min="15" max="16384" width="10.77734375" style="14"/>
  </cols>
  <sheetData>
    <row r="2" spans="2:18" x14ac:dyDescent="0.5">
      <c r="B2" s="30"/>
      <c r="C2" s="203"/>
      <c r="D2" s="203"/>
      <c r="E2" s="203"/>
      <c r="F2" s="204"/>
      <c r="G2" s="203"/>
      <c r="H2" s="203"/>
      <c r="I2" s="203"/>
      <c r="J2" s="203"/>
      <c r="K2" s="203"/>
      <c r="L2" s="204"/>
      <c r="M2" s="205"/>
    </row>
    <row r="3" spans="2:18" ht="23.25" x14ac:dyDescent="0.7">
      <c r="B3" s="29"/>
      <c r="C3" s="664" t="s">
        <v>99</v>
      </c>
      <c r="D3" s="664"/>
      <c r="E3" s="664"/>
      <c r="F3" s="664"/>
      <c r="G3" s="664"/>
      <c r="H3" s="664"/>
      <c r="I3" s="664"/>
      <c r="J3" s="664"/>
      <c r="K3" s="664"/>
      <c r="L3" s="664"/>
      <c r="M3" s="665"/>
    </row>
    <row r="4" spans="2:18" ht="23.25" x14ac:dyDescent="0.7">
      <c r="B4" s="29"/>
      <c r="C4" s="664" t="s">
        <v>53</v>
      </c>
      <c r="D4" s="664"/>
      <c r="E4" s="664"/>
      <c r="F4" s="664"/>
      <c r="G4" s="664"/>
      <c r="H4" s="664"/>
      <c r="I4" s="664"/>
      <c r="J4" s="664"/>
      <c r="K4" s="664"/>
      <c r="L4" s="664"/>
      <c r="M4" s="665"/>
    </row>
    <row r="5" spans="2:18" ht="23.25" x14ac:dyDescent="0.5">
      <c r="B5" s="29"/>
      <c r="C5" s="666" t="str">
        <f>'BA Existing Rates'!B2</f>
        <v>Current Billing Analysis - 2022 Water Usage and Existing Rates</v>
      </c>
      <c r="D5" s="666"/>
      <c r="E5" s="666"/>
      <c r="F5" s="666"/>
      <c r="G5" s="666"/>
      <c r="H5" s="666"/>
      <c r="I5" s="666"/>
      <c r="J5" s="666"/>
      <c r="K5" s="666"/>
      <c r="L5" s="666"/>
      <c r="M5" s="667"/>
      <c r="N5" s="157"/>
      <c r="O5" s="157"/>
      <c r="P5" s="157"/>
      <c r="Q5" s="157"/>
    </row>
    <row r="6" spans="2:18" x14ac:dyDescent="0.5">
      <c r="B6" s="29"/>
      <c r="M6" s="206"/>
    </row>
    <row r="7" spans="2:18" x14ac:dyDescent="0.5">
      <c r="B7" s="30"/>
      <c r="C7" s="203"/>
      <c r="D7" s="203"/>
      <c r="E7" s="203"/>
      <c r="F7" s="204"/>
      <c r="G7" s="205"/>
      <c r="H7" s="30"/>
      <c r="I7" s="203"/>
      <c r="J7" s="203"/>
      <c r="K7" s="203"/>
      <c r="L7" s="204"/>
      <c r="M7" s="205"/>
    </row>
    <row r="8" spans="2:18" x14ac:dyDescent="0.5">
      <c r="B8" s="29"/>
      <c r="C8" s="662" t="s">
        <v>159</v>
      </c>
      <c r="D8" s="662"/>
      <c r="E8" s="662"/>
      <c r="F8" s="662"/>
      <c r="G8" s="663"/>
      <c r="H8" s="29"/>
      <c r="I8" s="662" t="s">
        <v>112</v>
      </c>
      <c r="J8" s="662"/>
      <c r="K8" s="662"/>
      <c r="L8" s="662"/>
      <c r="M8" s="663"/>
      <c r="O8" s="75">
        <f>'SAO - DSC'!L58</f>
        <v>0.3417</v>
      </c>
      <c r="P8" s="76" t="s">
        <v>113</v>
      </c>
    </row>
    <row r="9" spans="2:18" x14ac:dyDescent="0.5">
      <c r="B9" s="29"/>
      <c r="G9" s="206"/>
      <c r="H9" s="29"/>
      <c r="M9" s="206"/>
    </row>
    <row r="10" spans="2:18" x14ac:dyDescent="0.5">
      <c r="B10" s="29"/>
      <c r="C10" s="116" t="s">
        <v>333</v>
      </c>
      <c r="D10" s="142"/>
      <c r="E10" s="116"/>
      <c r="F10" s="403"/>
      <c r="G10" s="402"/>
      <c r="H10" s="29"/>
      <c r="I10" s="116" t="s">
        <v>333</v>
      </c>
      <c r="J10" s="142"/>
      <c r="K10" s="116"/>
      <c r="L10" s="403"/>
      <c r="M10" s="402"/>
    </row>
    <row r="11" spans="2:18" x14ac:dyDescent="0.5">
      <c r="B11" s="29"/>
      <c r="C11" s="116" t="s">
        <v>51</v>
      </c>
      <c r="D11" s="142">
        <v>2000</v>
      </c>
      <c r="E11" s="116" t="s">
        <v>188</v>
      </c>
      <c r="F11" s="404">
        <f>CurRates!G8</f>
        <v>20.38</v>
      </c>
      <c r="G11" s="402" t="s">
        <v>241</v>
      </c>
      <c r="H11" s="29"/>
      <c r="I11" s="116" t="s">
        <v>51</v>
      </c>
      <c r="J11" s="142">
        <v>2000</v>
      </c>
      <c r="K11" s="116" t="s">
        <v>188</v>
      </c>
      <c r="L11" s="404">
        <f>R11</f>
        <v>27.33</v>
      </c>
      <c r="M11" s="402" t="s">
        <v>241</v>
      </c>
      <c r="O11" s="409">
        <f>F11</f>
        <v>20.38</v>
      </c>
      <c r="P11" s="409">
        <f>ROUND(O$8*O11,2)</f>
        <v>6.96</v>
      </c>
      <c r="Q11" s="410">
        <v>-0.01</v>
      </c>
      <c r="R11" s="409">
        <f>SUM(O11:Q11)</f>
        <v>27.33</v>
      </c>
    </row>
    <row r="12" spans="2:18" x14ac:dyDescent="0.5">
      <c r="B12" s="29"/>
      <c r="C12" s="116" t="s">
        <v>52</v>
      </c>
      <c r="D12" s="142">
        <v>4000</v>
      </c>
      <c r="E12" s="116" t="s">
        <v>188</v>
      </c>
      <c r="F12" s="405">
        <f>CurRates!G9</f>
        <v>5.8999999999999999E-3</v>
      </c>
      <c r="G12" s="402" t="s">
        <v>240</v>
      </c>
      <c r="H12" s="29"/>
      <c r="I12" s="116" t="s">
        <v>52</v>
      </c>
      <c r="J12" s="142">
        <v>4000</v>
      </c>
      <c r="K12" s="116" t="s">
        <v>188</v>
      </c>
      <c r="L12" s="405">
        <f>R12</f>
        <v>7.9100000000000004E-3</v>
      </c>
      <c r="M12" s="402" t="s">
        <v>240</v>
      </c>
      <c r="O12" s="410">
        <f t="shared" ref="O12:O15" si="0">F12</f>
        <v>5.8999999999999999E-3</v>
      </c>
      <c r="P12" s="410">
        <f>ROUND(O$8*O12,5)</f>
        <v>2.0200000000000001E-3</v>
      </c>
      <c r="Q12" s="410">
        <v>-1.0000000000000001E-5</v>
      </c>
      <c r="R12" s="410">
        <f>SUM(O12:Q12)</f>
        <v>7.9100000000000004E-3</v>
      </c>
    </row>
    <row r="13" spans="2:18" x14ac:dyDescent="0.5">
      <c r="B13" s="29"/>
      <c r="C13" s="116" t="s">
        <v>52</v>
      </c>
      <c r="D13" s="142">
        <v>44000</v>
      </c>
      <c r="E13" s="116" t="s">
        <v>188</v>
      </c>
      <c r="F13" s="405">
        <f>CurRates!G10</f>
        <v>5.2399999999999999E-3</v>
      </c>
      <c r="G13" s="402" t="s">
        <v>240</v>
      </c>
      <c r="H13" s="29"/>
      <c r="I13" s="116" t="s">
        <v>52</v>
      </c>
      <c r="J13" s="142">
        <v>44000</v>
      </c>
      <c r="K13" s="116" t="s">
        <v>188</v>
      </c>
      <c r="L13" s="405">
        <f t="shared" ref="L13:L15" si="1">R13</f>
        <v>7.0200000000000002E-3</v>
      </c>
      <c r="M13" s="402" t="s">
        <v>240</v>
      </c>
      <c r="O13" s="410">
        <f t="shared" si="0"/>
        <v>5.2399999999999999E-3</v>
      </c>
      <c r="P13" s="410">
        <f t="shared" ref="P13:P15" si="2">ROUND(O$8*O13,5)</f>
        <v>1.7899999999999999E-3</v>
      </c>
      <c r="Q13" s="410">
        <v>-1.0000000000000001E-5</v>
      </c>
      <c r="R13" s="410">
        <f t="shared" ref="R13:R15" si="3">SUM(O13:Q13)</f>
        <v>7.0200000000000002E-3</v>
      </c>
    </row>
    <row r="14" spans="2:18" x14ac:dyDescent="0.5">
      <c r="B14" s="29"/>
      <c r="C14" s="116" t="s">
        <v>52</v>
      </c>
      <c r="D14" s="142">
        <v>50000</v>
      </c>
      <c r="E14" s="116" t="s">
        <v>188</v>
      </c>
      <c r="F14" s="405">
        <f>CurRates!G11</f>
        <v>4.5100000000000001E-3</v>
      </c>
      <c r="G14" s="402" t="s">
        <v>240</v>
      </c>
      <c r="H14" s="29"/>
      <c r="I14" s="116" t="s">
        <v>52</v>
      </c>
      <c r="J14" s="142">
        <v>50000</v>
      </c>
      <c r="K14" s="116" t="s">
        <v>188</v>
      </c>
      <c r="L14" s="405">
        <f t="shared" si="1"/>
        <v>6.0400000000000002E-3</v>
      </c>
      <c r="M14" s="402" t="s">
        <v>240</v>
      </c>
      <c r="O14" s="410">
        <f t="shared" si="0"/>
        <v>4.5100000000000001E-3</v>
      </c>
      <c r="P14" s="410">
        <f t="shared" si="2"/>
        <v>1.5399999999999999E-3</v>
      </c>
      <c r="Q14" s="410">
        <v>-1.0000000000000001E-5</v>
      </c>
      <c r="R14" s="410">
        <f t="shared" si="3"/>
        <v>6.0400000000000002E-3</v>
      </c>
    </row>
    <row r="15" spans="2:18" x14ac:dyDescent="0.5">
      <c r="B15" s="29"/>
      <c r="C15" s="116" t="s">
        <v>114</v>
      </c>
      <c r="D15" s="142">
        <f>SUM(D11:D14)</f>
        <v>100000</v>
      </c>
      <c r="E15" s="116" t="s">
        <v>188</v>
      </c>
      <c r="F15" s="405">
        <f>CurRates!G12</f>
        <v>3.7599999999999999E-3</v>
      </c>
      <c r="G15" s="402" t="s">
        <v>240</v>
      </c>
      <c r="H15" s="29"/>
      <c r="I15" s="116" t="s">
        <v>114</v>
      </c>
      <c r="J15" s="142">
        <f>SUM(J11:J14)</f>
        <v>100000</v>
      </c>
      <c r="K15" s="116" t="s">
        <v>188</v>
      </c>
      <c r="L15" s="405">
        <f t="shared" si="1"/>
        <v>5.0300000000000006E-3</v>
      </c>
      <c r="M15" s="402" t="s">
        <v>240</v>
      </c>
      <c r="O15" s="410">
        <f t="shared" si="0"/>
        <v>3.7599999999999999E-3</v>
      </c>
      <c r="P15" s="410">
        <f t="shared" si="2"/>
        <v>1.2800000000000001E-3</v>
      </c>
      <c r="Q15" s="410">
        <v>-1.0000000000000001E-5</v>
      </c>
      <c r="R15" s="410">
        <f t="shared" si="3"/>
        <v>5.0300000000000006E-3</v>
      </c>
    </row>
    <row r="16" spans="2:18" x14ac:dyDescent="0.5">
      <c r="B16" s="29"/>
      <c r="C16" s="116"/>
      <c r="D16" s="142"/>
      <c r="E16" s="116"/>
      <c r="F16" s="405"/>
      <c r="G16" s="402"/>
      <c r="H16" s="29"/>
      <c r="I16" s="116"/>
      <c r="J16" s="142"/>
      <c r="K16" s="116"/>
      <c r="L16" s="405"/>
      <c r="M16" s="402"/>
      <c r="Q16" s="212">
        <f>ROUND(O8*F16,5)</f>
        <v>0</v>
      </c>
    </row>
    <row r="17" spans="2:20" x14ac:dyDescent="0.5">
      <c r="B17" s="29"/>
      <c r="C17" s="116" t="s">
        <v>334</v>
      </c>
      <c r="D17" s="142"/>
      <c r="E17" s="116"/>
      <c r="F17" s="116"/>
      <c r="G17" s="402"/>
      <c r="H17" s="29"/>
      <c r="I17" s="116" t="s">
        <v>334</v>
      </c>
      <c r="J17" s="142"/>
      <c r="K17" s="116"/>
      <c r="L17" s="116"/>
      <c r="M17" s="402"/>
    </row>
    <row r="18" spans="2:20" x14ac:dyDescent="0.5">
      <c r="B18" s="29"/>
      <c r="C18" s="116" t="s">
        <v>51</v>
      </c>
      <c r="D18" s="142">
        <v>5000</v>
      </c>
      <c r="E18" s="116" t="s">
        <v>188</v>
      </c>
      <c r="F18" s="404">
        <f>CurRates!G15</f>
        <v>38.68</v>
      </c>
      <c r="G18" s="402" t="s">
        <v>241</v>
      </c>
      <c r="H18" s="29"/>
      <c r="I18" s="116" t="s">
        <v>51</v>
      </c>
      <c r="J18" s="142">
        <v>5000</v>
      </c>
      <c r="K18" s="116" t="s">
        <v>188</v>
      </c>
      <c r="L18" s="404">
        <f>R18</f>
        <v>51.89</v>
      </c>
      <c r="M18" s="402" t="s">
        <v>241</v>
      </c>
      <c r="O18" s="409">
        <f>F18</f>
        <v>38.68</v>
      </c>
      <c r="P18" s="409">
        <f>ROUND(O$8*O18,2)</f>
        <v>13.22</v>
      </c>
      <c r="Q18" s="410">
        <f>Q11</f>
        <v>-0.01</v>
      </c>
      <c r="R18" s="409">
        <f>SUM(O18:Q18)</f>
        <v>51.89</v>
      </c>
    </row>
    <row r="19" spans="2:20" x14ac:dyDescent="0.5">
      <c r="B19" s="29"/>
      <c r="C19" s="116" t="s">
        <v>52</v>
      </c>
      <c r="D19" s="142">
        <v>1000</v>
      </c>
      <c r="E19" s="116" t="s">
        <v>188</v>
      </c>
      <c r="F19" s="405">
        <f>CurRates!G16</f>
        <v>5.8999999999999999E-3</v>
      </c>
      <c r="G19" s="402" t="s">
        <v>240</v>
      </c>
      <c r="H19" s="29"/>
      <c r="I19" s="116" t="s">
        <v>52</v>
      </c>
      <c r="J19" s="142">
        <v>1000</v>
      </c>
      <c r="K19" s="116" t="s">
        <v>188</v>
      </c>
      <c r="L19" s="405">
        <f>L12</f>
        <v>7.9100000000000004E-3</v>
      </c>
      <c r="M19" s="402" t="s">
        <v>240</v>
      </c>
      <c r="O19" s="410">
        <f t="shared" ref="O19:O22" si="4">F19</f>
        <v>5.8999999999999999E-3</v>
      </c>
      <c r="P19" s="410">
        <f>ROUND(O$8*O19,5)</f>
        <v>2.0200000000000001E-3</v>
      </c>
      <c r="Q19" s="410">
        <f>Q12</f>
        <v>-1.0000000000000001E-5</v>
      </c>
      <c r="R19" s="410">
        <f>SUM(O19:Q19)</f>
        <v>7.9100000000000004E-3</v>
      </c>
      <c r="S19" s="210"/>
      <c r="T19" s="210"/>
    </row>
    <row r="20" spans="2:20" x14ac:dyDescent="0.5">
      <c r="B20" s="29"/>
      <c r="C20" s="116" t="s">
        <v>52</v>
      </c>
      <c r="D20" s="142">
        <v>44000</v>
      </c>
      <c r="E20" s="116" t="s">
        <v>188</v>
      </c>
      <c r="F20" s="405">
        <f>CurRates!G17</f>
        <v>5.2399999999999999E-3</v>
      </c>
      <c r="G20" s="402" t="s">
        <v>240</v>
      </c>
      <c r="H20" s="29"/>
      <c r="I20" s="116" t="s">
        <v>52</v>
      </c>
      <c r="J20" s="142">
        <v>44000</v>
      </c>
      <c r="K20" s="116" t="s">
        <v>188</v>
      </c>
      <c r="L20" s="405">
        <f t="shared" ref="L20:L22" si="5">L13</f>
        <v>7.0200000000000002E-3</v>
      </c>
      <c r="M20" s="402" t="s">
        <v>240</v>
      </c>
      <c r="O20" s="410">
        <f t="shared" si="4"/>
        <v>5.2399999999999999E-3</v>
      </c>
      <c r="P20" s="410">
        <f t="shared" ref="P20:P22" si="6">ROUND(O$8*O20,5)</f>
        <v>1.7899999999999999E-3</v>
      </c>
      <c r="Q20" s="410">
        <f t="shared" ref="Q20:Q22" si="7">Q13</f>
        <v>-1.0000000000000001E-5</v>
      </c>
      <c r="R20" s="410">
        <f t="shared" ref="R20:R22" si="8">SUM(O20:Q20)</f>
        <v>7.0200000000000002E-3</v>
      </c>
      <c r="S20" s="77"/>
      <c r="T20" s="211"/>
    </row>
    <row r="21" spans="2:20" x14ac:dyDescent="0.5">
      <c r="B21" s="29"/>
      <c r="C21" s="116" t="s">
        <v>52</v>
      </c>
      <c r="D21" s="142">
        <v>50000</v>
      </c>
      <c r="E21" s="116" t="s">
        <v>188</v>
      </c>
      <c r="F21" s="405">
        <f>CurRates!G18</f>
        <v>4.5100000000000001E-3</v>
      </c>
      <c r="G21" s="402" t="s">
        <v>240</v>
      </c>
      <c r="H21" s="29"/>
      <c r="I21" s="116" t="s">
        <v>52</v>
      </c>
      <c r="J21" s="142">
        <v>50000</v>
      </c>
      <c r="K21" s="116" t="s">
        <v>188</v>
      </c>
      <c r="L21" s="405">
        <f t="shared" si="5"/>
        <v>6.0400000000000002E-3</v>
      </c>
      <c r="M21" s="402" t="s">
        <v>240</v>
      </c>
      <c r="O21" s="410">
        <f t="shared" si="4"/>
        <v>4.5100000000000001E-3</v>
      </c>
      <c r="P21" s="410">
        <f t="shared" si="6"/>
        <v>1.5399999999999999E-3</v>
      </c>
      <c r="Q21" s="410">
        <f t="shared" si="7"/>
        <v>-1.0000000000000001E-5</v>
      </c>
      <c r="R21" s="410">
        <f t="shared" si="8"/>
        <v>6.0400000000000002E-3</v>
      </c>
      <c r="S21" s="78"/>
      <c r="T21" s="211"/>
    </row>
    <row r="22" spans="2:20" x14ac:dyDescent="0.5">
      <c r="B22" s="29"/>
      <c r="C22" s="116" t="s">
        <v>114</v>
      </c>
      <c r="D22" s="142">
        <f>SUM(D18:D21)</f>
        <v>100000</v>
      </c>
      <c r="E22" s="116" t="s">
        <v>188</v>
      </c>
      <c r="F22" s="405">
        <f>CurRates!G19</f>
        <v>3.7599999999999999E-3</v>
      </c>
      <c r="G22" s="402" t="s">
        <v>240</v>
      </c>
      <c r="H22" s="29"/>
      <c r="I22" s="116" t="s">
        <v>114</v>
      </c>
      <c r="J22" s="142">
        <f>SUM(J18:J21)</f>
        <v>100000</v>
      </c>
      <c r="K22" s="116" t="s">
        <v>188</v>
      </c>
      <c r="L22" s="405">
        <f t="shared" si="5"/>
        <v>5.0300000000000006E-3</v>
      </c>
      <c r="M22" s="402" t="s">
        <v>240</v>
      </c>
      <c r="O22" s="410">
        <f t="shared" si="4"/>
        <v>3.7599999999999999E-3</v>
      </c>
      <c r="P22" s="410">
        <f t="shared" si="6"/>
        <v>1.2800000000000001E-3</v>
      </c>
      <c r="Q22" s="410">
        <f t="shared" si="7"/>
        <v>-1.0000000000000001E-5</v>
      </c>
      <c r="R22" s="410">
        <f t="shared" si="8"/>
        <v>5.0300000000000006E-3</v>
      </c>
      <c r="S22" s="78"/>
      <c r="T22" s="211"/>
    </row>
    <row r="23" spans="2:20" x14ac:dyDescent="0.5">
      <c r="B23" s="29"/>
      <c r="C23" s="116"/>
      <c r="D23" s="142"/>
      <c r="E23" s="116"/>
      <c r="F23" s="405"/>
      <c r="G23" s="402"/>
      <c r="H23" s="29"/>
      <c r="I23" s="116"/>
      <c r="J23" s="142"/>
      <c r="K23" s="116"/>
      <c r="L23" s="405"/>
      <c r="M23" s="402"/>
      <c r="N23" s="79"/>
      <c r="O23" s="79"/>
      <c r="P23" s="79"/>
      <c r="R23" s="78"/>
      <c r="S23" s="78"/>
      <c r="T23" s="211"/>
    </row>
    <row r="24" spans="2:20" x14ac:dyDescent="0.5">
      <c r="B24" s="29"/>
      <c r="C24" s="116" t="s">
        <v>335</v>
      </c>
      <c r="D24" s="142"/>
      <c r="E24" s="116"/>
      <c r="F24" s="405"/>
      <c r="G24" s="402"/>
      <c r="H24" s="29"/>
      <c r="I24" s="116" t="s">
        <v>335</v>
      </c>
      <c r="J24" s="142"/>
      <c r="K24" s="116"/>
      <c r="L24" s="405"/>
      <c r="M24" s="402"/>
    </row>
    <row r="25" spans="2:20" x14ac:dyDescent="0.5">
      <c r="B25" s="29"/>
      <c r="C25" s="116" t="s">
        <v>51</v>
      </c>
      <c r="D25" s="142">
        <v>10000</v>
      </c>
      <c r="E25" s="116" t="s">
        <v>188</v>
      </c>
      <c r="F25" s="404">
        <f>CurRates!G22</f>
        <v>69.11</v>
      </c>
      <c r="G25" s="402" t="s">
        <v>241</v>
      </c>
      <c r="H25" s="29"/>
      <c r="I25" s="116" t="s">
        <v>51</v>
      </c>
      <c r="J25" s="142">
        <v>10000</v>
      </c>
      <c r="K25" s="116" t="s">
        <v>188</v>
      </c>
      <c r="L25" s="404">
        <f>R25</f>
        <v>92.71</v>
      </c>
      <c r="M25" s="402" t="s">
        <v>241</v>
      </c>
      <c r="O25" s="409">
        <f>F25</f>
        <v>69.11</v>
      </c>
      <c r="P25" s="409">
        <f>ROUND(O$8*O25,2)</f>
        <v>23.61</v>
      </c>
      <c r="Q25" s="410">
        <f>Q18</f>
        <v>-0.01</v>
      </c>
      <c r="R25" s="409">
        <f>SUM(O25:Q25)</f>
        <v>92.71</v>
      </c>
    </row>
    <row r="26" spans="2:20" x14ac:dyDescent="0.5">
      <c r="B26" s="29"/>
      <c r="C26" s="116" t="s">
        <v>52</v>
      </c>
      <c r="D26" s="142">
        <v>40000</v>
      </c>
      <c r="E26" s="116" t="s">
        <v>188</v>
      </c>
      <c r="F26" s="405">
        <f>CurRates!G23</f>
        <v>5.2399999999999999E-3</v>
      </c>
      <c r="G26" s="402" t="s">
        <v>240</v>
      </c>
      <c r="H26" s="29"/>
      <c r="I26" s="116" t="s">
        <v>52</v>
      </c>
      <c r="J26" s="142">
        <v>40000</v>
      </c>
      <c r="K26" s="116" t="s">
        <v>188</v>
      </c>
      <c r="L26" s="405">
        <f>L20</f>
        <v>7.0200000000000002E-3</v>
      </c>
      <c r="M26" s="402" t="s">
        <v>240</v>
      </c>
      <c r="O26" s="410">
        <f t="shared" ref="O26:O28" si="9">F26</f>
        <v>5.2399999999999999E-3</v>
      </c>
      <c r="P26" s="410">
        <f>ROUND(O$8*O26,5)</f>
        <v>1.7899999999999999E-3</v>
      </c>
      <c r="Q26" s="410">
        <f>Q19</f>
        <v>-1.0000000000000001E-5</v>
      </c>
      <c r="R26" s="410">
        <f>SUM(O26:Q26)</f>
        <v>7.0200000000000002E-3</v>
      </c>
    </row>
    <row r="27" spans="2:20" x14ac:dyDescent="0.5">
      <c r="B27" s="29"/>
      <c r="C27" s="116" t="s">
        <v>52</v>
      </c>
      <c r="D27" s="142">
        <v>50000</v>
      </c>
      <c r="E27" s="116" t="s">
        <v>188</v>
      </c>
      <c r="F27" s="405">
        <f>CurRates!G24</f>
        <v>4.5100000000000001E-3</v>
      </c>
      <c r="G27" s="402" t="s">
        <v>240</v>
      </c>
      <c r="H27" s="29"/>
      <c r="I27" s="116" t="s">
        <v>52</v>
      </c>
      <c r="J27" s="142">
        <v>50000</v>
      </c>
      <c r="K27" s="116" t="s">
        <v>188</v>
      </c>
      <c r="L27" s="405">
        <f t="shared" ref="L27:L28" si="10">L21</f>
        <v>6.0400000000000002E-3</v>
      </c>
      <c r="M27" s="402" t="s">
        <v>240</v>
      </c>
      <c r="O27" s="410">
        <f t="shared" si="9"/>
        <v>4.5100000000000001E-3</v>
      </c>
      <c r="P27" s="410">
        <f t="shared" ref="P27:P28" si="11">ROUND(O$8*O27,5)</f>
        <v>1.5399999999999999E-3</v>
      </c>
      <c r="Q27" s="410">
        <f t="shared" ref="Q27:Q28" si="12">Q21</f>
        <v>-1.0000000000000001E-5</v>
      </c>
      <c r="R27" s="410">
        <f t="shared" ref="R27:R28" si="13">SUM(O27:Q27)</f>
        <v>6.0400000000000002E-3</v>
      </c>
    </row>
    <row r="28" spans="2:20" x14ac:dyDescent="0.5">
      <c r="B28" s="29"/>
      <c r="C28" s="116" t="s">
        <v>114</v>
      </c>
      <c r="D28" s="142">
        <f>SUM(D24:D27)</f>
        <v>100000</v>
      </c>
      <c r="E28" s="116" t="s">
        <v>188</v>
      </c>
      <c r="F28" s="405">
        <f>CurRates!G25</f>
        <v>3.7599999999999999E-3</v>
      </c>
      <c r="G28" s="402" t="s">
        <v>240</v>
      </c>
      <c r="H28" s="29"/>
      <c r="I28" s="116" t="s">
        <v>114</v>
      </c>
      <c r="J28" s="142">
        <f>SUM(J24:J27)</f>
        <v>100000</v>
      </c>
      <c r="K28" s="116" t="s">
        <v>188</v>
      </c>
      <c r="L28" s="405">
        <f t="shared" si="10"/>
        <v>5.0300000000000006E-3</v>
      </c>
      <c r="M28" s="402" t="s">
        <v>240</v>
      </c>
      <c r="O28" s="410">
        <f t="shared" si="9"/>
        <v>3.7599999999999999E-3</v>
      </c>
      <c r="P28" s="410">
        <f t="shared" si="11"/>
        <v>1.2800000000000001E-3</v>
      </c>
      <c r="Q28" s="410">
        <f t="shared" si="12"/>
        <v>-1.0000000000000001E-5</v>
      </c>
      <c r="R28" s="410">
        <f t="shared" si="13"/>
        <v>5.0300000000000006E-3</v>
      </c>
    </row>
    <row r="29" spans="2:20" x14ac:dyDescent="0.5">
      <c r="B29" s="29"/>
      <c r="C29" s="116"/>
      <c r="D29" s="142"/>
      <c r="E29" s="116"/>
      <c r="F29" s="405"/>
      <c r="G29" s="402"/>
      <c r="H29" s="29"/>
      <c r="I29" s="116"/>
      <c r="J29" s="142"/>
      <c r="K29" s="116"/>
      <c r="L29" s="405"/>
      <c r="M29" s="402"/>
      <c r="O29" s="410"/>
      <c r="P29" s="410"/>
      <c r="Q29" s="410"/>
      <c r="R29" s="410"/>
    </row>
    <row r="30" spans="2:20" x14ac:dyDescent="0.5">
      <c r="B30" s="29"/>
      <c r="C30" s="116" t="s">
        <v>336</v>
      </c>
      <c r="D30" s="142"/>
      <c r="E30" s="116"/>
      <c r="F30" s="116"/>
      <c r="G30" s="402"/>
      <c r="H30" s="29"/>
      <c r="I30" s="116" t="s">
        <v>336</v>
      </c>
      <c r="J30" s="142"/>
      <c r="K30" s="116"/>
      <c r="L30" s="116"/>
      <c r="M30" s="402"/>
      <c r="O30" s="410"/>
      <c r="P30" s="410"/>
      <c r="Q30" s="410"/>
      <c r="R30" s="410"/>
    </row>
    <row r="31" spans="2:20" x14ac:dyDescent="0.5">
      <c r="B31" s="29"/>
      <c r="C31" s="116" t="s">
        <v>51</v>
      </c>
      <c r="D31" s="142">
        <v>16000</v>
      </c>
      <c r="E31" s="116" t="s">
        <v>188</v>
      </c>
      <c r="F31" s="404">
        <f>CurRates!G28</f>
        <v>101.44</v>
      </c>
      <c r="G31" s="402" t="s">
        <v>241</v>
      </c>
      <c r="H31" s="29"/>
      <c r="I31" s="116" t="s">
        <v>51</v>
      </c>
      <c r="J31" s="142">
        <v>16000</v>
      </c>
      <c r="K31" s="116" t="s">
        <v>188</v>
      </c>
      <c r="L31" s="404">
        <f>R31</f>
        <v>136.09</v>
      </c>
      <c r="M31" s="402" t="s">
        <v>241</v>
      </c>
      <c r="O31" s="409">
        <f>F31</f>
        <v>101.44</v>
      </c>
      <c r="P31" s="409">
        <f>ROUND(O$8*O31,2)</f>
        <v>34.659999999999997</v>
      </c>
      <c r="Q31" s="410">
        <f>Q18</f>
        <v>-0.01</v>
      </c>
      <c r="R31" s="409">
        <f>SUM(O31:Q31)</f>
        <v>136.09</v>
      </c>
    </row>
    <row r="32" spans="2:20" x14ac:dyDescent="0.5">
      <c r="B32" s="29"/>
      <c r="C32" s="116" t="s">
        <v>52</v>
      </c>
      <c r="D32" s="142">
        <v>34000</v>
      </c>
      <c r="E32" s="116" t="s">
        <v>188</v>
      </c>
      <c r="F32" s="405">
        <f>CurRates!G29</f>
        <v>5.2399999999999999E-3</v>
      </c>
      <c r="G32" s="402" t="s">
        <v>240</v>
      </c>
      <c r="H32" s="29"/>
      <c r="I32" s="116" t="s">
        <v>52</v>
      </c>
      <c r="J32" s="142">
        <v>34000</v>
      </c>
      <c r="K32" s="116" t="s">
        <v>188</v>
      </c>
      <c r="L32" s="405">
        <f>L26</f>
        <v>7.0200000000000002E-3</v>
      </c>
      <c r="M32" s="402" t="s">
        <v>240</v>
      </c>
      <c r="O32" s="410">
        <f t="shared" ref="O32:O34" si="14">F32</f>
        <v>5.2399999999999999E-3</v>
      </c>
      <c r="P32" s="410">
        <f>ROUND(O$8*O32,5)</f>
        <v>1.7899999999999999E-3</v>
      </c>
      <c r="Q32" s="410">
        <f>Q26</f>
        <v>-1.0000000000000001E-5</v>
      </c>
      <c r="R32" s="410">
        <f>SUM(O32:Q32)</f>
        <v>7.0200000000000002E-3</v>
      </c>
    </row>
    <row r="33" spans="2:18" x14ac:dyDescent="0.5">
      <c r="B33" s="29"/>
      <c r="C33" s="116" t="s">
        <v>52</v>
      </c>
      <c r="D33" s="142">
        <v>50000</v>
      </c>
      <c r="E33" s="116" t="s">
        <v>188</v>
      </c>
      <c r="F33" s="405">
        <f>CurRates!G30</f>
        <v>4.5100000000000001E-3</v>
      </c>
      <c r="G33" s="402" t="s">
        <v>240</v>
      </c>
      <c r="H33" s="29"/>
      <c r="I33" s="116" t="s">
        <v>52</v>
      </c>
      <c r="J33" s="142">
        <v>50000</v>
      </c>
      <c r="K33" s="116" t="s">
        <v>188</v>
      </c>
      <c r="L33" s="405">
        <f t="shared" ref="L33:L34" si="15">L27</f>
        <v>6.0400000000000002E-3</v>
      </c>
      <c r="M33" s="402" t="s">
        <v>240</v>
      </c>
      <c r="O33" s="410">
        <f t="shared" si="14"/>
        <v>4.5100000000000001E-3</v>
      </c>
      <c r="P33" s="410">
        <f t="shared" ref="P33:P34" si="16">ROUND(O$8*O33,5)</f>
        <v>1.5399999999999999E-3</v>
      </c>
      <c r="Q33" s="410">
        <f t="shared" ref="Q33:Q34" si="17">Q27</f>
        <v>-1.0000000000000001E-5</v>
      </c>
      <c r="R33" s="410">
        <f t="shared" ref="R33:R34" si="18">SUM(O33:Q33)</f>
        <v>6.0400000000000002E-3</v>
      </c>
    </row>
    <row r="34" spans="2:18" x14ac:dyDescent="0.5">
      <c r="B34" s="29"/>
      <c r="C34" s="116" t="s">
        <v>114</v>
      </c>
      <c r="D34" s="142">
        <f>SUM(D30:D33)</f>
        <v>100000</v>
      </c>
      <c r="E34" s="116" t="s">
        <v>188</v>
      </c>
      <c r="F34" s="405">
        <f>CurRates!G31</f>
        <v>3.7599999999999999E-3</v>
      </c>
      <c r="G34" s="402" t="s">
        <v>240</v>
      </c>
      <c r="H34" s="29"/>
      <c r="I34" s="116" t="s">
        <v>114</v>
      </c>
      <c r="J34" s="142">
        <f>SUM(J30:J33)</f>
        <v>100000</v>
      </c>
      <c r="K34" s="116" t="s">
        <v>188</v>
      </c>
      <c r="L34" s="405">
        <f t="shared" si="15"/>
        <v>5.0300000000000006E-3</v>
      </c>
      <c r="M34" s="402" t="s">
        <v>240</v>
      </c>
      <c r="O34" s="410">
        <f t="shared" si="14"/>
        <v>3.7599999999999999E-3</v>
      </c>
      <c r="P34" s="410">
        <f t="shared" si="16"/>
        <v>1.2800000000000001E-3</v>
      </c>
      <c r="Q34" s="410">
        <f t="shared" si="17"/>
        <v>-1.0000000000000001E-5</v>
      </c>
      <c r="R34" s="410">
        <f t="shared" si="18"/>
        <v>5.0300000000000006E-3</v>
      </c>
    </row>
    <row r="35" spans="2:18" x14ac:dyDescent="0.5">
      <c r="B35" s="29"/>
      <c r="C35" s="116"/>
      <c r="D35" s="142"/>
      <c r="E35" s="116"/>
      <c r="F35" s="405"/>
      <c r="G35" s="402"/>
      <c r="H35" s="29"/>
      <c r="I35" s="116"/>
      <c r="J35" s="142"/>
      <c r="K35" s="116"/>
      <c r="L35" s="405"/>
      <c r="M35" s="402"/>
    </row>
    <row r="36" spans="2:18" x14ac:dyDescent="0.5">
      <c r="B36" s="29"/>
      <c r="C36" s="116" t="s">
        <v>337</v>
      </c>
      <c r="D36" s="142"/>
      <c r="E36" s="116"/>
      <c r="F36" s="116"/>
      <c r="G36" s="402"/>
      <c r="H36" s="29"/>
      <c r="I36" s="116" t="s">
        <v>337</v>
      </c>
      <c r="J36" s="142"/>
      <c r="K36" s="116"/>
      <c r="L36" s="116"/>
      <c r="M36" s="402"/>
    </row>
    <row r="37" spans="2:18" x14ac:dyDescent="0.5">
      <c r="B37" s="29"/>
      <c r="C37" s="116" t="s">
        <v>51</v>
      </c>
      <c r="D37" s="142">
        <v>25000</v>
      </c>
      <c r="E37" s="116" t="s">
        <v>188</v>
      </c>
      <c r="F37" s="404">
        <f>CurRates!G34</f>
        <v>164.67</v>
      </c>
      <c r="G37" s="402" t="s">
        <v>241</v>
      </c>
      <c r="H37" s="29"/>
      <c r="I37" s="116" t="s">
        <v>51</v>
      </c>
      <c r="J37" s="142">
        <v>25000</v>
      </c>
      <c r="K37" s="116" t="s">
        <v>188</v>
      </c>
      <c r="L37" s="404">
        <f>R37</f>
        <v>220.93</v>
      </c>
      <c r="M37" s="402" t="s">
        <v>241</v>
      </c>
      <c r="O37" s="409">
        <f>F37</f>
        <v>164.67</v>
      </c>
      <c r="P37" s="409">
        <f>ROUND(O$8*O37,2)</f>
        <v>56.27</v>
      </c>
      <c r="Q37" s="410">
        <f>Q31</f>
        <v>-0.01</v>
      </c>
      <c r="R37" s="409">
        <f>SUM(O37:Q37)</f>
        <v>220.93</v>
      </c>
    </row>
    <row r="38" spans="2:18" x14ac:dyDescent="0.5">
      <c r="B38" s="29"/>
      <c r="C38" s="116" t="s">
        <v>52</v>
      </c>
      <c r="D38" s="142">
        <v>25000</v>
      </c>
      <c r="E38" s="116" t="s">
        <v>188</v>
      </c>
      <c r="F38" s="405">
        <f>CurRates!G35</f>
        <v>5.2399999999999999E-3</v>
      </c>
      <c r="G38" s="402" t="s">
        <v>240</v>
      </c>
      <c r="H38" s="29"/>
      <c r="I38" s="116" t="s">
        <v>52</v>
      </c>
      <c r="J38" s="142">
        <v>25000</v>
      </c>
      <c r="K38" s="116" t="s">
        <v>188</v>
      </c>
      <c r="L38" s="405">
        <f>L32</f>
        <v>7.0200000000000002E-3</v>
      </c>
      <c r="M38" s="402" t="s">
        <v>240</v>
      </c>
      <c r="O38" s="410">
        <f t="shared" ref="O38:O40" si="19">F38</f>
        <v>5.2399999999999999E-3</v>
      </c>
      <c r="P38" s="410">
        <f>ROUND(O$8*O38,5)</f>
        <v>1.7899999999999999E-3</v>
      </c>
      <c r="Q38" s="410">
        <f>Q32</f>
        <v>-1.0000000000000001E-5</v>
      </c>
      <c r="R38" s="410">
        <f>SUM(O38:Q38)</f>
        <v>7.0200000000000002E-3</v>
      </c>
    </row>
    <row r="39" spans="2:18" x14ac:dyDescent="0.5">
      <c r="B39" s="29"/>
      <c r="C39" s="116" t="s">
        <v>52</v>
      </c>
      <c r="D39" s="142">
        <v>50000</v>
      </c>
      <c r="E39" s="116" t="s">
        <v>188</v>
      </c>
      <c r="F39" s="405">
        <f>CurRates!G36</f>
        <v>4.5100000000000001E-3</v>
      </c>
      <c r="G39" s="402" t="s">
        <v>240</v>
      </c>
      <c r="H39" s="29"/>
      <c r="I39" s="116" t="s">
        <v>52</v>
      </c>
      <c r="J39" s="142">
        <v>50000</v>
      </c>
      <c r="K39" s="116" t="s">
        <v>188</v>
      </c>
      <c r="L39" s="405">
        <f t="shared" ref="L39:L40" si="20">L33</f>
        <v>6.0400000000000002E-3</v>
      </c>
      <c r="M39" s="402" t="s">
        <v>240</v>
      </c>
      <c r="O39" s="410">
        <f t="shared" si="19"/>
        <v>4.5100000000000001E-3</v>
      </c>
      <c r="P39" s="410">
        <f t="shared" ref="P39:P40" si="21">ROUND(O$8*O39,5)</f>
        <v>1.5399999999999999E-3</v>
      </c>
      <c r="Q39" s="410">
        <f t="shared" ref="Q39:Q40" si="22">Q33</f>
        <v>-1.0000000000000001E-5</v>
      </c>
      <c r="R39" s="410">
        <f t="shared" ref="R39:R40" si="23">SUM(O39:Q39)</f>
        <v>6.0400000000000002E-3</v>
      </c>
    </row>
    <row r="40" spans="2:18" x14ac:dyDescent="0.5">
      <c r="B40" s="29"/>
      <c r="C40" s="116" t="s">
        <v>114</v>
      </c>
      <c r="D40" s="142">
        <f>SUM(D36:D39)</f>
        <v>100000</v>
      </c>
      <c r="E40" s="116" t="s">
        <v>188</v>
      </c>
      <c r="F40" s="405">
        <f>CurRates!G37</f>
        <v>3.7599999999999999E-3</v>
      </c>
      <c r="G40" s="402" t="s">
        <v>240</v>
      </c>
      <c r="H40" s="29"/>
      <c r="I40" s="116" t="s">
        <v>114</v>
      </c>
      <c r="J40" s="142">
        <f>SUM(J36:J39)</f>
        <v>100000</v>
      </c>
      <c r="K40" s="116" t="s">
        <v>188</v>
      </c>
      <c r="L40" s="405">
        <f t="shared" si="20"/>
        <v>5.0300000000000006E-3</v>
      </c>
      <c r="M40" s="402" t="s">
        <v>240</v>
      </c>
      <c r="O40" s="410">
        <f t="shared" si="19"/>
        <v>3.7599999999999999E-3</v>
      </c>
      <c r="P40" s="410">
        <f t="shared" si="21"/>
        <v>1.2800000000000001E-3</v>
      </c>
      <c r="Q40" s="410">
        <f t="shared" si="22"/>
        <v>-1.0000000000000001E-5</v>
      </c>
      <c r="R40" s="410">
        <f t="shared" si="23"/>
        <v>5.0300000000000006E-3</v>
      </c>
    </row>
    <row r="41" spans="2:18" x14ac:dyDescent="0.5">
      <c r="B41" s="29"/>
      <c r="C41" s="116"/>
      <c r="D41" s="142"/>
      <c r="E41" s="116"/>
      <c r="F41" s="405"/>
      <c r="G41" s="402"/>
      <c r="H41" s="29"/>
      <c r="I41" s="116"/>
      <c r="J41" s="142"/>
      <c r="K41" s="116"/>
      <c r="L41" s="405"/>
      <c r="M41" s="402"/>
    </row>
    <row r="42" spans="2:18" x14ac:dyDescent="0.5">
      <c r="B42" s="29"/>
      <c r="C42" s="116" t="s">
        <v>338</v>
      </c>
      <c r="D42" s="142"/>
      <c r="E42" s="116"/>
      <c r="F42" s="116"/>
      <c r="G42" s="402"/>
      <c r="H42" s="29"/>
      <c r="I42" s="116" t="s">
        <v>338</v>
      </c>
      <c r="J42" s="142"/>
      <c r="K42" s="116"/>
      <c r="L42" s="116"/>
      <c r="M42" s="402"/>
    </row>
    <row r="43" spans="2:18" x14ac:dyDescent="0.5">
      <c r="B43" s="29"/>
      <c r="C43" s="116" t="s">
        <v>51</v>
      </c>
      <c r="D43" s="142">
        <v>30000</v>
      </c>
      <c r="E43" s="116" t="s">
        <v>188</v>
      </c>
      <c r="F43" s="404">
        <f>CurRates!G40</f>
        <v>227.81</v>
      </c>
      <c r="G43" s="402" t="s">
        <v>241</v>
      </c>
      <c r="H43" s="29"/>
      <c r="I43" s="116" t="s">
        <v>51</v>
      </c>
      <c r="J43" s="142">
        <v>30000</v>
      </c>
      <c r="K43" s="116" t="s">
        <v>188</v>
      </c>
      <c r="L43" s="404">
        <f>R43</f>
        <v>305.64</v>
      </c>
      <c r="M43" s="402" t="s">
        <v>241</v>
      </c>
      <c r="O43" s="409">
        <f>F43</f>
        <v>227.81</v>
      </c>
      <c r="P43" s="409">
        <f>ROUND(O$8*O43,2)</f>
        <v>77.84</v>
      </c>
      <c r="Q43" s="410">
        <f>Q37</f>
        <v>-0.01</v>
      </c>
      <c r="R43" s="409">
        <f>SUM(O43:Q43)</f>
        <v>305.64</v>
      </c>
    </row>
    <row r="44" spans="2:18" x14ac:dyDescent="0.5">
      <c r="B44" s="29"/>
      <c r="C44" s="116" t="s">
        <v>52</v>
      </c>
      <c r="D44" s="142">
        <v>20000</v>
      </c>
      <c r="E44" s="116" t="s">
        <v>188</v>
      </c>
      <c r="F44" s="405">
        <f>CurRates!G41</f>
        <v>5.2399999999999999E-3</v>
      </c>
      <c r="G44" s="402" t="s">
        <v>240</v>
      </c>
      <c r="H44" s="29"/>
      <c r="I44" s="116" t="s">
        <v>52</v>
      </c>
      <c r="J44" s="142">
        <v>20000</v>
      </c>
      <c r="K44" s="116" t="s">
        <v>188</v>
      </c>
      <c r="L44" s="405">
        <f>L38</f>
        <v>7.0200000000000002E-3</v>
      </c>
      <c r="M44" s="402" t="s">
        <v>240</v>
      </c>
      <c r="O44" s="410">
        <f t="shared" ref="O44:O46" si="24">F44</f>
        <v>5.2399999999999999E-3</v>
      </c>
      <c r="P44" s="410">
        <f>ROUND(O$8*O44,5)</f>
        <v>1.7899999999999999E-3</v>
      </c>
      <c r="Q44" s="410">
        <f>Q38</f>
        <v>-1.0000000000000001E-5</v>
      </c>
      <c r="R44" s="410">
        <f>SUM(O44:Q44)</f>
        <v>7.0200000000000002E-3</v>
      </c>
    </row>
    <row r="45" spans="2:18" x14ac:dyDescent="0.5">
      <c r="B45" s="29"/>
      <c r="C45" s="116" t="s">
        <v>52</v>
      </c>
      <c r="D45" s="142">
        <v>50000</v>
      </c>
      <c r="E45" s="116" t="s">
        <v>188</v>
      </c>
      <c r="F45" s="405">
        <f>CurRates!G42</f>
        <v>4.5100000000000001E-3</v>
      </c>
      <c r="G45" s="402" t="s">
        <v>240</v>
      </c>
      <c r="H45" s="29"/>
      <c r="I45" s="116" t="s">
        <v>52</v>
      </c>
      <c r="J45" s="142">
        <v>50000</v>
      </c>
      <c r="K45" s="116" t="s">
        <v>188</v>
      </c>
      <c r="L45" s="405">
        <f t="shared" ref="L45:L46" si="25">L39</f>
        <v>6.0400000000000002E-3</v>
      </c>
      <c r="M45" s="402" t="s">
        <v>240</v>
      </c>
      <c r="O45" s="410">
        <f t="shared" si="24"/>
        <v>4.5100000000000001E-3</v>
      </c>
      <c r="P45" s="410">
        <f t="shared" ref="P45:P46" si="26">ROUND(O$8*O45,5)</f>
        <v>1.5399999999999999E-3</v>
      </c>
      <c r="Q45" s="410">
        <f t="shared" ref="Q45:Q46" si="27">Q39</f>
        <v>-1.0000000000000001E-5</v>
      </c>
      <c r="R45" s="410">
        <f t="shared" ref="R45:R46" si="28">SUM(O45:Q45)</f>
        <v>6.0400000000000002E-3</v>
      </c>
    </row>
    <row r="46" spans="2:18" x14ac:dyDescent="0.5">
      <c r="B46" s="29"/>
      <c r="C46" s="116" t="s">
        <v>114</v>
      </c>
      <c r="D46" s="142">
        <f>SUM(D42:D45)</f>
        <v>100000</v>
      </c>
      <c r="E46" s="116" t="s">
        <v>188</v>
      </c>
      <c r="F46" s="405">
        <f>CurRates!G43</f>
        <v>3.7599999999999999E-3</v>
      </c>
      <c r="G46" s="402" t="s">
        <v>240</v>
      </c>
      <c r="H46" s="29"/>
      <c r="I46" s="116" t="s">
        <v>114</v>
      </c>
      <c r="J46" s="142">
        <f>SUM(J42:J45)</f>
        <v>100000</v>
      </c>
      <c r="K46" s="116" t="s">
        <v>188</v>
      </c>
      <c r="L46" s="405">
        <f t="shared" si="25"/>
        <v>5.0300000000000006E-3</v>
      </c>
      <c r="M46" s="402" t="s">
        <v>240</v>
      </c>
      <c r="O46" s="410">
        <f t="shared" si="24"/>
        <v>3.7599999999999999E-3</v>
      </c>
      <c r="P46" s="410">
        <f t="shared" si="26"/>
        <v>1.2800000000000001E-3</v>
      </c>
      <c r="Q46" s="410">
        <f t="shared" si="27"/>
        <v>-1.0000000000000001E-5</v>
      </c>
      <c r="R46" s="410">
        <f t="shared" si="28"/>
        <v>5.0300000000000006E-3</v>
      </c>
    </row>
    <row r="47" spans="2:18" x14ac:dyDescent="0.5">
      <c r="B47" s="29"/>
      <c r="C47" s="116"/>
      <c r="D47" s="142"/>
      <c r="E47" s="116"/>
      <c r="F47" s="405"/>
      <c r="G47" s="402"/>
      <c r="H47" s="29"/>
      <c r="I47" s="116"/>
      <c r="J47" s="142"/>
      <c r="K47" s="116"/>
      <c r="L47" s="405"/>
      <c r="M47" s="402"/>
    </row>
    <row r="48" spans="2:18" x14ac:dyDescent="0.5">
      <c r="B48" s="29"/>
      <c r="C48" s="116" t="s">
        <v>339</v>
      </c>
      <c r="D48" s="142"/>
      <c r="E48" s="116"/>
      <c r="F48" s="116"/>
      <c r="G48" s="402"/>
      <c r="H48" s="29"/>
      <c r="I48" s="116" t="s">
        <v>339</v>
      </c>
      <c r="J48" s="142"/>
      <c r="K48" s="116"/>
      <c r="L48" s="116"/>
      <c r="M48" s="402"/>
    </row>
    <row r="49" spans="2:18" x14ac:dyDescent="0.5">
      <c r="B49" s="29"/>
      <c r="C49" s="116" t="s">
        <v>51</v>
      </c>
      <c r="D49" s="142">
        <v>60000</v>
      </c>
      <c r="E49" s="116" t="s">
        <v>188</v>
      </c>
      <c r="F49" s="404">
        <f>CurRates!G46</f>
        <v>397.91</v>
      </c>
      <c r="G49" s="402" t="s">
        <v>241</v>
      </c>
      <c r="H49" s="29"/>
      <c r="I49" s="116" t="s">
        <v>51</v>
      </c>
      <c r="J49" s="142">
        <v>60000</v>
      </c>
      <c r="K49" s="116" t="s">
        <v>188</v>
      </c>
      <c r="L49" s="404">
        <f>R49</f>
        <v>533.87</v>
      </c>
      <c r="M49" s="402" t="s">
        <v>241</v>
      </c>
      <c r="O49" s="409">
        <f>F49</f>
        <v>397.91</v>
      </c>
      <c r="P49" s="409">
        <f>ROUND(O$8*O49,2)</f>
        <v>135.97</v>
      </c>
      <c r="Q49" s="410">
        <f>Q43</f>
        <v>-0.01</v>
      </c>
      <c r="R49" s="409">
        <f>SUM(O49:Q49)</f>
        <v>533.87</v>
      </c>
    </row>
    <row r="50" spans="2:18" x14ac:dyDescent="0.5">
      <c r="B50" s="29"/>
      <c r="C50" s="116" t="s">
        <v>52</v>
      </c>
      <c r="D50" s="142">
        <v>40000</v>
      </c>
      <c r="E50" s="116" t="s">
        <v>188</v>
      </c>
      <c r="F50" s="405">
        <f>CurRates!G47</f>
        <v>4.5100000000000001E-3</v>
      </c>
      <c r="G50" s="402" t="s">
        <v>240</v>
      </c>
      <c r="H50" s="29"/>
      <c r="I50" s="116" t="s">
        <v>52</v>
      </c>
      <c r="J50" s="142">
        <v>40000</v>
      </c>
      <c r="K50" s="116" t="s">
        <v>188</v>
      </c>
      <c r="L50" s="405">
        <f>L45</f>
        <v>6.0400000000000002E-3</v>
      </c>
      <c r="M50" s="402" t="s">
        <v>240</v>
      </c>
      <c r="O50" s="410">
        <f t="shared" ref="O50:O51" si="29">F50</f>
        <v>4.5100000000000001E-3</v>
      </c>
      <c r="P50" s="410">
        <f>ROUND(O$8*O50,5)</f>
        <v>1.5399999999999999E-3</v>
      </c>
      <c r="Q50" s="410">
        <f>Q44</f>
        <v>-1.0000000000000001E-5</v>
      </c>
      <c r="R50" s="410">
        <f>SUM(O50:Q50)</f>
        <v>6.0400000000000002E-3</v>
      </c>
    </row>
    <row r="51" spans="2:18" x14ac:dyDescent="0.5">
      <c r="B51" s="29"/>
      <c r="C51" s="116" t="s">
        <v>114</v>
      </c>
      <c r="D51" s="142">
        <f>SUM(D48:D50)</f>
        <v>100000</v>
      </c>
      <c r="E51" s="116" t="s">
        <v>188</v>
      </c>
      <c r="F51" s="405">
        <f>CurRates!G48</f>
        <v>3.7599999999999999E-3</v>
      </c>
      <c r="G51" s="402" t="s">
        <v>240</v>
      </c>
      <c r="H51" s="29"/>
      <c r="I51" s="116" t="s">
        <v>114</v>
      </c>
      <c r="J51" s="142">
        <f>SUM(J48:J50)</f>
        <v>100000</v>
      </c>
      <c r="K51" s="116" t="s">
        <v>188</v>
      </c>
      <c r="L51" s="405">
        <f>L46</f>
        <v>5.0300000000000006E-3</v>
      </c>
      <c r="M51" s="402" t="s">
        <v>240</v>
      </c>
      <c r="O51" s="410">
        <f t="shared" si="29"/>
        <v>3.7599999999999999E-3</v>
      </c>
      <c r="P51" s="410">
        <f t="shared" ref="P51" si="30">ROUND(O$8*O51,5)</f>
        <v>1.2800000000000001E-3</v>
      </c>
      <c r="Q51" s="410">
        <f>Q46</f>
        <v>-1.0000000000000001E-5</v>
      </c>
      <c r="R51" s="410">
        <f t="shared" ref="R51" si="31">SUM(O51:Q51)</f>
        <v>5.0300000000000006E-3</v>
      </c>
    </row>
    <row r="52" spans="2:18" x14ac:dyDescent="0.5">
      <c r="B52" s="29"/>
      <c r="C52" s="116"/>
      <c r="D52" s="142"/>
      <c r="E52" s="116"/>
      <c r="F52" s="405"/>
      <c r="G52" s="402"/>
      <c r="H52" s="29"/>
      <c r="I52" s="116"/>
      <c r="J52" s="142"/>
      <c r="K52" s="116"/>
      <c r="L52" s="405"/>
      <c r="M52" s="402"/>
      <c r="O52" s="410"/>
      <c r="P52" s="410"/>
      <c r="Q52" s="410"/>
      <c r="R52" s="410"/>
    </row>
    <row r="53" spans="2:18" x14ac:dyDescent="0.5">
      <c r="B53" s="29"/>
      <c r="C53" s="116" t="s">
        <v>340</v>
      </c>
      <c r="D53" s="142"/>
      <c r="E53" s="116"/>
      <c r="F53" s="116"/>
      <c r="G53" s="402"/>
      <c r="H53" s="29"/>
      <c r="I53" s="116" t="s">
        <v>340</v>
      </c>
      <c r="J53" s="142"/>
      <c r="K53" s="116"/>
      <c r="L53" s="116"/>
      <c r="M53" s="402"/>
      <c r="Q53" s="410"/>
    </row>
    <row r="54" spans="2:18" x14ac:dyDescent="0.5">
      <c r="B54" s="29"/>
      <c r="C54" s="116" t="s">
        <v>51</v>
      </c>
      <c r="D54" s="142">
        <v>80000</v>
      </c>
      <c r="E54" s="116" t="s">
        <v>188</v>
      </c>
      <c r="F54" s="404">
        <f>CurRates!G51</f>
        <v>504.71</v>
      </c>
      <c r="G54" s="402" t="s">
        <v>241</v>
      </c>
      <c r="H54" s="29"/>
      <c r="I54" s="116" t="s">
        <v>51</v>
      </c>
      <c r="J54" s="142">
        <v>80000</v>
      </c>
      <c r="K54" s="116" t="s">
        <v>188</v>
      </c>
      <c r="L54" s="404">
        <f>R54</f>
        <v>677.16</v>
      </c>
      <c r="M54" s="402" t="s">
        <v>241</v>
      </c>
      <c r="O54" s="409">
        <f>F54</f>
        <v>504.71</v>
      </c>
      <c r="P54" s="409">
        <f>ROUND(O$8*O54,2)</f>
        <v>172.46</v>
      </c>
      <c r="Q54" s="410">
        <f>Q49</f>
        <v>-0.01</v>
      </c>
      <c r="R54" s="409">
        <f>SUM(O54:Q54)</f>
        <v>677.16</v>
      </c>
    </row>
    <row r="55" spans="2:18" x14ac:dyDescent="0.5">
      <c r="B55" s="29"/>
      <c r="C55" s="116" t="s">
        <v>52</v>
      </c>
      <c r="D55" s="142">
        <v>20000</v>
      </c>
      <c r="E55" s="116" t="s">
        <v>188</v>
      </c>
      <c r="F55" s="405">
        <f>CurRates!G52</f>
        <v>4.5100000000000001E-3</v>
      </c>
      <c r="G55" s="402" t="s">
        <v>240</v>
      </c>
      <c r="H55" s="29"/>
      <c r="I55" s="116" t="s">
        <v>52</v>
      </c>
      <c r="J55" s="142">
        <v>20000</v>
      </c>
      <c r="K55" s="116" t="s">
        <v>188</v>
      </c>
      <c r="L55" s="405">
        <f>L50</f>
        <v>6.0400000000000002E-3</v>
      </c>
      <c r="M55" s="402" t="s">
        <v>240</v>
      </c>
      <c r="O55" s="410">
        <f t="shared" ref="O55:O56" si="32">F55</f>
        <v>4.5100000000000001E-3</v>
      </c>
      <c r="P55" s="410">
        <f>ROUND(O$8*O55,5)</f>
        <v>1.5399999999999999E-3</v>
      </c>
      <c r="Q55" s="410">
        <f>Q50</f>
        <v>-1.0000000000000001E-5</v>
      </c>
      <c r="R55" s="410">
        <f>SUM(O55:Q55)</f>
        <v>6.0400000000000002E-3</v>
      </c>
    </row>
    <row r="56" spans="2:18" x14ac:dyDescent="0.5">
      <c r="B56" s="29"/>
      <c r="C56" s="116" t="s">
        <v>114</v>
      </c>
      <c r="D56" s="142">
        <f>SUM(D53:D55)</f>
        <v>100000</v>
      </c>
      <c r="E56" s="116" t="s">
        <v>188</v>
      </c>
      <c r="F56" s="405">
        <f>CurRates!G53</f>
        <v>3.7599999999999999E-3</v>
      </c>
      <c r="G56" s="402" t="s">
        <v>240</v>
      </c>
      <c r="H56" s="29"/>
      <c r="I56" s="116" t="s">
        <v>114</v>
      </c>
      <c r="J56" s="142">
        <f>SUM(J53:J55)</f>
        <v>100000</v>
      </c>
      <c r="K56" s="116" t="s">
        <v>188</v>
      </c>
      <c r="L56" s="405">
        <f>L51</f>
        <v>5.0300000000000006E-3</v>
      </c>
      <c r="M56" s="402" t="s">
        <v>240</v>
      </c>
      <c r="O56" s="410">
        <f t="shared" si="32"/>
        <v>3.7599999999999999E-3</v>
      </c>
      <c r="P56" s="410">
        <f t="shared" ref="P56" si="33">ROUND(O$8*O56,5)</f>
        <v>1.2800000000000001E-3</v>
      </c>
      <c r="Q56" s="410">
        <f>Q51</f>
        <v>-1.0000000000000001E-5</v>
      </c>
      <c r="R56" s="410">
        <f t="shared" ref="R56" si="34">SUM(O56:Q56)</f>
        <v>5.0300000000000006E-3</v>
      </c>
    </row>
    <row r="57" spans="2:18" x14ac:dyDescent="0.5">
      <c r="B57" s="29"/>
      <c r="C57" s="116"/>
      <c r="D57" s="142"/>
      <c r="E57" s="116"/>
      <c r="F57" s="405"/>
      <c r="G57" s="402"/>
      <c r="H57" s="29"/>
      <c r="I57" s="116"/>
      <c r="J57" s="142"/>
      <c r="K57" s="116"/>
      <c r="L57" s="405"/>
      <c r="M57" s="402"/>
      <c r="O57" s="410"/>
      <c r="P57" s="410"/>
      <c r="Q57" s="410"/>
      <c r="R57" s="410"/>
    </row>
    <row r="58" spans="2:18" x14ac:dyDescent="0.5">
      <c r="B58" s="29"/>
      <c r="C58" s="116" t="s">
        <v>460</v>
      </c>
      <c r="D58" s="142"/>
      <c r="E58" s="116"/>
      <c r="F58" s="405"/>
      <c r="G58" s="402"/>
      <c r="H58" s="29"/>
      <c r="I58" s="116" t="s">
        <v>460</v>
      </c>
      <c r="J58" s="142"/>
      <c r="K58" s="116"/>
      <c r="L58" s="404"/>
      <c r="M58" s="402"/>
      <c r="O58" s="410"/>
      <c r="P58" s="410"/>
      <c r="Q58" s="410"/>
      <c r="R58" s="410"/>
    </row>
    <row r="59" spans="2:18" x14ac:dyDescent="0.5">
      <c r="B59" s="29"/>
      <c r="C59" s="116" t="s">
        <v>711</v>
      </c>
      <c r="D59" s="142"/>
      <c r="E59" s="116"/>
      <c r="F59" s="404">
        <f>CurRates!G56</f>
        <v>17.53</v>
      </c>
      <c r="G59" s="402"/>
      <c r="H59" s="29"/>
      <c r="I59" s="116" t="s">
        <v>711</v>
      </c>
      <c r="J59" s="142"/>
      <c r="K59" s="116"/>
      <c r="L59" s="404">
        <f t="shared" ref="L59:L60" si="35">R59</f>
        <v>23.51</v>
      </c>
      <c r="M59" s="402"/>
      <c r="N59" s="138"/>
      <c r="O59" s="409">
        <f t="shared" ref="O59:O60" si="36">F59</f>
        <v>17.53</v>
      </c>
      <c r="P59" s="409">
        <f t="shared" ref="P59:P60" si="37">ROUND(O$8*O59,2)</f>
        <v>5.99</v>
      </c>
      <c r="Q59" s="410">
        <v>-0.01</v>
      </c>
      <c r="R59" s="409">
        <f t="shared" ref="R59:R60" si="38">SUM(O59:Q59)</f>
        <v>23.51</v>
      </c>
    </row>
    <row r="60" spans="2:18" x14ac:dyDescent="0.5">
      <c r="B60" s="29"/>
      <c r="C60" s="116" t="s">
        <v>712</v>
      </c>
      <c r="D60" s="142"/>
      <c r="E60" s="116"/>
      <c r="F60" s="404">
        <f>CurRates!G57</f>
        <v>26.2</v>
      </c>
      <c r="G60" s="402"/>
      <c r="H60" s="29"/>
      <c r="I60" s="116" t="s">
        <v>712</v>
      </c>
      <c r="J60" s="142"/>
      <c r="K60" s="116"/>
      <c r="L60" s="404">
        <f t="shared" si="35"/>
        <v>35.14</v>
      </c>
      <c r="M60" s="402"/>
      <c r="N60" s="138"/>
      <c r="O60" s="409">
        <f t="shared" si="36"/>
        <v>26.2</v>
      </c>
      <c r="P60" s="409">
        <f t="shared" si="37"/>
        <v>8.9499999999999993</v>
      </c>
      <c r="Q60" s="410">
        <v>-0.01</v>
      </c>
      <c r="R60" s="409">
        <f t="shared" si="38"/>
        <v>35.14</v>
      </c>
    </row>
    <row r="61" spans="2:18" x14ac:dyDescent="0.5">
      <c r="B61" s="29"/>
      <c r="C61" s="116" t="s">
        <v>355</v>
      </c>
      <c r="D61" s="142"/>
      <c r="E61" s="116"/>
      <c r="F61" s="404">
        <f>CurRates!G58</f>
        <v>68.05</v>
      </c>
      <c r="G61" s="402"/>
      <c r="H61" s="29"/>
      <c r="I61" s="116" t="s">
        <v>355</v>
      </c>
      <c r="J61"/>
      <c r="K61" s="138"/>
      <c r="L61" s="404">
        <f>R61</f>
        <v>91.289999999999992</v>
      </c>
      <c r="M61" s="402"/>
      <c r="N61" s="138"/>
      <c r="O61" s="409">
        <f t="shared" ref="O61:O63" si="39">F61</f>
        <v>68.05</v>
      </c>
      <c r="P61" s="409">
        <f t="shared" ref="P61:P63" si="40">ROUND(O$8*O61,2)</f>
        <v>23.25</v>
      </c>
      <c r="Q61" s="410">
        <f>Q54</f>
        <v>-0.01</v>
      </c>
      <c r="R61" s="409">
        <f t="shared" ref="R61:R63" si="41">SUM(O61:Q61)</f>
        <v>91.289999999999992</v>
      </c>
    </row>
    <row r="62" spans="2:18" x14ac:dyDescent="0.5">
      <c r="B62" s="29"/>
      <c r="C62" s="116" t="s">
        <v>356</v>
      </c>
      <c r="D62" s="142"/>
      <c r="E62" s="116"/>
      <c r="F62" s="404">
        <f>CurRates!G59</f>
        <v>147.91999999999999</v>
      </c>
      <c r="G62" s="402"/>
      <c r="H62" s="29"/>
      <c r="I62" s="116" t="s">
        <v>356</v>
      </c>
      <c r="J62"/>
      <c r="K62" s="138"/>
      <c r="L62" s="404">
        <f t="shared" ref="L62:L66" si="42">R62</f>
        <v>198.45998999999998</v>
      </c>
      <c r="M62" s="402"/>
      <c r="N62" s="138"/>
      <c r="O62" s="409">
        <f t="shared" si="39"/>
        <v>147.91999999999999</v>
      </c>
      <c r="P62" s="409">
        <f t="shared" si="40"/>
        <v>50.54</v>
      </c>
      <c r="Q62" s="410">
        <f>Q55</f>
        <v>-1.0000000000000001E-5</v>
      </c>
      <c r="R62" s="409">
        <f t="shared" si="41"/>
        <v>198.45998999999998</v>
      </c>
    </row>
    <row r="63" spans="2:18" x14ac:dyDescent="0.5">
      <c r="B63" s="29"/>
      <c r="C63" t="s">
        <v>351</v>
      </c>
      <c r="D63" s="142"/>
      <c r="E63" s="116"/>
      <c r="F63" s="404">
        <f>CurRates!G60</f>
        <v>340.77</v>
      </c>
      <c r="G63" s="402"/>
      <c r="H63" s="29"/>
      <c r="I63" t="s">
        <v>351</v>
      </c>
      <c r="J63"/>
      <c r="K63" s="138"/>
      <c r="L63" s="404">
        <f t="shared" si="42"/>
        <v>457.20999</v>
      </c>
      <c r="M63" s="402"/>
      <c r="N63" s="138"/>
      <c r="O63" s="409">
        <f t="shared" si="39"/>
        <v>340.77</v>
      </c>
      <c r="P63" s="409">
        <f t="shared" si="40"/>
        <v>116.44</v>
      </c>
      <c r="Q63" s="410">
        <f>Q56</f>
        <v>-1.0000000000000001E-5</v>
      </c>
      <c r="R63" s="409">
        <f t="shared" si="41"/>
        <v>457.20999</v>
      </c>
    </row>
    <row r="64" spans="2:18" x14ac:dyDescent="0.5">
      <c r="B64" s="29"/>
      <c r="C64" s="116" t="s">
        <v>713</v>
      </c>
      <c r="D64" s="142"/>
      <c r="E64" s="116"/>
      <c r="F64" s="404">
        <f>CurRates!G61</f>
        <v>658.17</v>
      </c>
      <c r="G64" s="402"/>
      <c r="H64" s="29"/>
      <c r="I64" s="116" t="s">
        <v>713</v>
      </c>
      <c r="J64" s="273"/>
      <c r="K64" s="272"/>
      <c r="L64" s="404">
        <f t="shared" si="42"/>
        <v>883.06</v>
      </c>
      <c r="M64" s="402"/>
      <c r="N64" s="138"/>
      <c r="O64" s="409">
        <f t="shared" ref="O64:O66" si="43">F64</f>
        <v>658.17</v>
      </c>
      <c r="P64" s="409">
        <f t="shared" ref="P64:P66" si="44">ROUND(O$8*O64,2)</f>
        <v>224.9</v>
      </c>
      <c r="Q64" s="410">
        <v>-0.01</v>
      </c>
      <c r="R64" s="409">
        <f t="shared" ref="R64:R66" si="45">SUM(O64:Q64)</f>
        <v>883.06</v>
      </c>
    </row>
    <row r="65" spans="2:18" x14ac:dyDescent="0.5">
      <c r="B65" s="29"/>
      <c r="C65" s="116" t="s">
        <v>714</v>
      </c>
      <c r="D65" s="142"/>
      <c r="E65" s="116"/>
      <c r="F65" s="404">
        <f>CurRates!G62</f>
        <v>1139.7</v>
      </c>
      <c r="G65" s="402"/>
      <c r="H65" s="29"/>
      <c r="I65" s="116" t="s">
        <v>714</v>
      </c>
      <c r="J65" s="142"/>
      <c r="K65" s="116"/>
      <c r="L65" s="404">
        <f t="shared" si="42"/>
        <v>1529.13</v>
      </c>
      <c r="M65" s="402"/>
      <c r="N65" s="138"/>
      <c r="O65" s="409">
        <f t="shared" si="43"/>
        <v>1139.7</v>
      </c>
      <c r="P65" s="409">
        <f t="shared" si="44"/>
        <v>389.44</v>
      </c>
      <c r="Q65" s="410">
        <v>-0.01</v>
      </c>
      <c r="R65" s="409">
        <f t="shared" si="45"/>
        <v>1529.13</v>
      </c>
    </row>
    <row r="66" spans="2:18" x14ac:dyDescent="0.5">
      <c r="B66" s="29"/>
      <c r="C66" s="116" t="s">
        <v>715</v>
      </c>
      <c r="D66" s="142"/>
      <c r="E66" s="116"/>
      <c r="F66" s="404">
        <f>CurRates!G63</f>
        <v>1799.31</v>
      </c>
      <c r="G66" s="402"/>
      <c r="H66" s="29"/>
      <c r="I66" s="116" t="s">
        <v>715</v>
      </c>
      <c r="J66" s="142"/>
      <c r="K66" s="116"/>
      <c r="L66" s="404">
        <f t="shared" si="42"/>
        <v>2414.12</v>
      </c>
      <c r="M66" s="402"/>
      <c r="N66" s="138"/>
      <c r="O66" s="409">
        <f t="shared" si="43"/>
        <v>1799.31</v>
      </c>
      <c r="P66" s="409">
        <f t="shared" si="44"/>
        <v>614.82000000000005</v>
      </c>
      <c r="Q66" s="410">
        <v>-0.01</v>
      </c>
      <c r="R66" s="409">
        <f t="shared" si="45"/>
        <v>2414.12</v>
      </c>
    </row>
    <row r="67" spans="2:18" x14ac:dyDescent="0.5">
      <c r="B67" s="29"/>
      <c r="C67" s="116"/>
      <c r="D67" s="142"/>
      <c r="E67" s="116"/>
      <c r="F67" s="406"/>
      <c r="G67" s="402"/>
      <c r="H67" s="29"/>
      <c r="I67" s="116"/>
      <c r="J67" s="142"/>
      <c r="K67" s="116"/>
      <c r="L67" s="406"/>
      <c r="M67" s="402"/>
      <c r="O67" s="409"/>
      <c r="P67" s="409"/>
      <c r="Q67" s="410"/>
      <c r="R67" s="409"/>
    </row>
    <row r="68" spans="2:18" x14ac:dyDescent="0.5">
      <c r="B68" s="31"/>
      <c r="C68" s="207"/>
      <c r="D68" s="207"/>
      <c r="E68" s="207"/>
      <c r="F68" s="584"/>
      <c r="G68" s="209"/>
      <c r="H68" s="31"/>
      <c r="I68" s="207"/>
      <c r="J68" s="207"/>
      <c r="K68" s="207"/>
      <c r="L68" s="208"/>
      <c r="M68" s="209"/>
    </row>
  </sheetData>
  <mergeCells count="5">
    <mergeCell ref="C8:G8"/>
    <mergeCell ref="I8:M8"/>
    <mergeCell ref="C3:M3"/>
    <mergeCell ref="C4:M4"/>
    <mergeCell ref="C5:M5"/>
  </mergeCells>
  <printOptions horizontalCentered="1"/>
  <pageMargins left="0.8" right="0.55000000000000004" top="1.2" bottom="0.5" header="0" footer="0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1C49-06B6-4430-AEF4-447AEF0B7DF2}">
  <dimension ref="B2:X66"/>
  <sheetViews>
    <sheetView topLeftCell="A38" workbookViewId="0">
      <selection sqref="A1:XFD1048576"/>
    </sheetView>
  </sheetViews>
  <sheetFormatPr defaultColWidth="10.77734375" defaultRowHeight="15.75" x14ac:dyDescent="0.5"/>
  <cols>
    <col min="1" max="1" width="10.77734375" style="14"/>
    <col min="2" max="2" width="1.77734375" style="14" customWidth="1"/>
    <col min="3" max="5" width="10.77734375" style="14"/>
    <col min="6" max="6" width="10.77734375" style="58"/>
    <col min="7" max="7" width="10.77734375" style="14"/>
    <col min="8" max="8" width="1.77734375" style="14" customWidth="1"/>
    <col min="9" max="11" width="10.77734375" style="14"/>
    <col min="12" max="12" width="10.77734375" style="58"/>
    <col min="13" max="13" width="10.77734375" style="14"/>
    <col min="14" max="14" width="1.77734375" style="14" customWidth="1"/>
    <col min="15" max="15" width="12.77734375" style="14" customWidth="1"/>
    <col min="16" max="16" width="1.77734375" style="14" customWidth="1"/>
    <col min="17" max="17" width="12.77734375" style="14" customWidth="1"/>
    <col min="18" max="18" width="1.77734375" style="14" customWidth="1"/>
    <col min="19" max="16384" width="10.77734375" style="14"/>
  </cols>
  <sheetData>
    <row r="2" spans="2:22" x14ac:dyDescent="0.5">
      <c r="B2" s="30"/>
      <c r="C2" s="203"/>
      <c r="D2" s="203"/>
      <c r="E2" s="203"/>
      <c r="F2" s="204"/>
      <c r="G2" s="203"/>
      <c r="H2" s="203"/>
      <c r="I2" s="203"/>
      <c r="J2" s="203"/>
      <c r="K2" s="203"/>
      <c r="L2" s="204"/>
      <c r="M2" s="205"/>
    </row>
    <row r="3" spans="2:22" ht="23.25" x14ac:dyDescent="0.7">
      <c r="B3" s="29"/>
      <c r="C3" s="664" t="s">
        <v>99</v>
      </c>
      <c r="D3" s="664"/>
      <c r="E3" s="664"/>
      <c r="F3" s="664"/>
      <c r="G3" s="664"/>
      <c r="H3" s="664"/>
      <c r="I3" s="664"/>
      <c r="J3" s="664"/>
      <c r="K3" s="664"/>
      <c r="L3" s="664"/>
      <c r="M3" s="665"/>
    </row>
    <row r="4" spans="2:22" ht="23.25" x14ac:dyDescent="0.7">
      <c r="B4" s="29"/>
      <c r="C4" s="664" t="s">
        <v>53</v>
      </c>
      <c r="D4" s="664"/>
      <c r="E4" s="664"/>
      <c r="F4" s="664"/>
      <c r="G4" s="664"/>
      <c r="H4" s="664"/>
      <c r="I4" s="664"/>
      <c r="J4" s="664"/>
      <c r="K4" s="664"/>
      <c r="L4" s="664"/>
      <c r="M4" s="665"/>
    </row>
    <row r="5" spans="2:22" ht="23.25" x14ac:dyDescent="0.5">
      <c r="B5" s="29"/>
      <c r="C5" s="666" t="str">
        <f>'BA Existing Rates'!B2</f>
        <v>Current Billing Analysis - 2022 Water Usage and Existing Rates</v>
      </c>
      <c r="D5" s="666"/>
      <c r="E5" s="666"/>
      <c r="F5" s="666"/>
      <c r="G5" s="666"/>
      <c r="H5" s="666"/>
      <c r="I5" s="666"/>
      <c r="J5" s="666"/>
      <c r="K5" s="666"/>
      <c r="L5" s="666"/>
      <c r="M5" s="667"/>
      <c r="N5" s="157"/>
      <c r="O5" s="157"/>
      <c r="P5" s="157"/>
      <c r="Q5" s="157"/>
      <c r="R5" s="157"/>
      <c r="S5" s="544">
        <v>0.5</v>
      </c>
      <c r="T5" s="14" t="s">
        <v>672</v>
      </c>
      <c r="U5" s="157"/>
    </row>
    <row r="6" spans="2:22" x14ac:dyDescent="0.5">
      <c r="B6" s="29"/>
      <c r="M6" s="206"/>
      <c r="S6" s="75">
        <f>'SAO - DSC'!L58</f>
        <v>0.3417</v>
      </c>
      <c r="T6" s="76" t="s">
        <v>113</v>
      </c>
    </row>
    <row r="7" spans="2:22" x14ac:dyDescent="0.5">
      <c r="B7" s="30"/>
      <c r="C7" s="203"/>
      <c r="D7" s="203"/>
      <c r="E7" s="203"/>
      <c r="F7" s="204"/>
      <c r="G7" s="205"/>
      <c r="H7" s="30"/>
      <c r="I7" s="203"/>
      <c r="J7" s="203"/>
      <c r="K7" s="203"/>
      <c r="L7" s="204"/>
      <c r="M7" s="205"/>
      <c r="S7" s="546">
        <f>ROUND(S5*S6,2)</f>
        <v>0.17</v>
      </c>
      <c r="T7" s="14" t="s">
        <v>671</v>
      </c>
    </row>
    <row r="8" spans="2:22" x14ac:dyDescent="0.5">
      <c r="B8" s="29"/>
      <c r="C8" s="662" t="s">
        <v>159</v>
      </c>
      <c r="D8" s="662"/>
      <c r="E8" s="662"/>
      <c r="F8" s="662"/>
      <c r="G8" s="663"/>
      <c r="H8" s="29"/>
      <c r="I8" s="662" t="s">
        <v>112</v>
      </c>
      <c r="J8" s="662"/>
      <c r="K8" s="662"/>
      <c r="L8" s="662"/>
      <c r="M8" s="663"/>
    </row>
    <row r="9" spans="2:22" x14ac:dyDescent="0.5">
      <c r="B9" s="29"/>
      <c r="G9" s="206"/>
      <c r="H9" s="29"/>
      <c r="M9" s="206"/>
    </row>
    <row r="10" spans="2:22" x14ac:dyDescent="0.5">
      <c r="B10" s="29"/>
      <c r="C10" s="116" t="s">
        <v>333</v>
      </c>
      <c r="D10" s="142"/>
      <c r="E10" s="116"/>
      <c r="F10" s="403"/>
      <c r="G10" s="402"/>
      <c r="H10" s="29"/>
      <c r="I10" s="116" t="s">
        <v>333</v>
      </c>
      <c r="J10" s="142"/>
      <c r="K10" s="116"/>
      <c r="L10" s="403"/>
      <c r="M10" s="402"/>
    </row>
    <row r="11" spans="2:22" x14ac:dyDescent="0.5">
      <c r="B11" s="29"/>
      <c r="C11" s="116" t="s">
        <v>51</v>
      </c>
      <c r="D11" s="142">
        <v>2000</v>
      </c>
      <c r="E11" s="116" t="s">
        <v>188</v>
      </c>
      <c r="F11" s="404">
        <f>CurRates!G8</f>
        <v>20.38</v>
      </c>
      <c r="G11" s="402" t="s">
        <v>241</v>
      </c>
      <c r="H11" s="29"/>
      <c r="I11" s="116" t="s">
        <v>51</v>
      </c>
      <c r="J11" s="142">
        <v>2000</v>
      </c>
      <c r="K11" s="116" t="s">
        <v>188</v>
      </c>
      <c r="L11" s="404">
        <f>V11</f>
        <v>23.83</v>
      </c>
      <c r="M11" s="402" t="s">
        <v>241</v>
      </c>
      <c r="O11" s="77">
        <f>L11-F11</f>
        <v>3.4499999999999993</v>
      </c>
      <c r="Q11" s="545">
        <f>ROUND(O11/F11,3)</f>
        <v>0.16900000000000001</v>
      </c>
      <c r="S11" s="409">
        <f>F11</f>
        <v>20.38</v>
      </c>
      <c r="T11" s="409">
        <f>ROUND(S$7*S11,2)</f>
        <v>3.46</v>
      </c>
      <c r="U11" s="410">
        <v>-0.01</v>
      </c>
      <c r="V11" s="409">
        <f>SUM(S11:U11)</f>
        <v>23.83</v>
      </c>
    </row>
    <row r="12" spans="2:22" x14ac:dyDescent="0.5">
      <c r="B12" s="29"/>
      <c r="C12" s="116" t="s">
        <v>52</v>
      </c>
      <c r="D12" s="142">
        <v>4000</v>
      </c>
      <c r="E12" s="116" t="s">
        <v>188</v>
      </c>
      <c r="F12" s="405">
        <f>CurRates!G9</f>
        <v>5.8999999999999999E-3</v>
      </c>
      <c r="G12" s="402" t="s">
        <v>240</v>
      </c>
      <c r="H12" s="29"/>
      <c r="I12" s="116" t="s">
        <v>52</v>
      </c>
      <c r="J12" s="142">
        <v>4000</v>
      </c>
      <c r="K12" s="116" t="s">
        <v>188</v>
      </c>
      <c r="L12" s="405">
        <f>V12</f>
        <v>6.8900000000000003E-3</v>
      </c>
      <c r="M12" s="402" t="s">
        <v>240</v>
      </c>
      <c r="O12" s="410">
        <f>L12-F12</f>
        <v>9.9000000000000043E-4</v>
      </c>
      <c r="Q12" s="545">
        <f>ROUND(O12/F12,3)</f>
        <v>0.16800000000000001</v>
      </c>
      <c r="S12" s="410">
        <f t="shared" ref="S12:S15" si="0">F12</f>
        <v>5.8999999999999999E-3</v>
      </c>
      <c r="T12" s="410">
        <f>ROUND(S$7*S12,5)</f>
        <v>1E-3</v>
      </c>
      <c r="U12" s="410">
        <v>-1.0000000000000001E-5</v>
      </c>
      <c r="V12" s="410">
        <f>SUM(S12:U12)</f>
        <v>6.8900000000000003E-3</v>
      </c>
    </row>
    <row r="13" spans="2:22" x14ac:dyDescent="0.5">
      <c r="B13" s="29"/>
      <c r="C13" s="116" t="s">
        <v>52</v>
      </c>
      <c r="D13" s="142">
        <v>44000</v>
      </c>
      <c r="E13" s="116" t="s">
        <v>188</v>
      </c>
      <c r="F13" s="405">
        <f>CurRates!G10</f>
        <v>5.2399999999999999E-3</v>
      </c>
      <c r="G13" s="402" t="s">
        <v>240</v>
      </c>
      <c r="H13" s="29"/>
      <c r="I13" s="116" t="s">
        <v>52</v>
      </c>
      <c r="J13" s="142">
        <v>44000</v>
      </c>
      <c r="K13" s="116" t="s">
        <v>188</v>
      </c>
      <c r="L13" s="405">
        <f t="shared" ref="L13:L15" si="1">V13</f>
        <v>6.1200000000000004E-3</v>
      </c>
      <c r="M13" s="402" t="s">
        <v>240</v>
      </c>
      <c r="O13" s="410">
        <f t="shared" ref="O13:O15" si="2">L13-F13</f>
        <v>8.8000000000000057E-4</v>
      </c>
      <c r="Q13" s="545">
        <f t="shared" ref="Q13:Q15" si="3">ROUND(O13/F13,3)</f>
        <v>0.16800000000000001</v>
      </c>
      <c r="S13" s="410">
        <f t="shared" si="0"/>
        <v>5.2399999999999999E-3</v>
      </c>
      <c r="T13" s="410">
        <f t="shared" ref="T13:T15" si="4">ROUND(S$7*S13,5)</f>
        <v>8.8999999999999995E-4</v>
      </c>
      <c r="U13" s="410">
        <v>-1.0000000000000001E-5</v>
      </c>
      <c r="V13" s="410">
        <f t="shared" ref="V13:V15" si="5">SUM(S13:U13)</f>
        <v>6.1200000000000004E-3</v>
      </c>
    </row>
    <row r="14" spans="2:22" x14ac:dyDescent="0.5">
      <c r="B14" s="29"/>
      <c r="C14" s="116" t="s">
        <v>52</v>
      </c>
      <c r="D14" s="142">
        <v>50000</v>
      </c>
      <c r="E14" s="116" t="s">
        <v>188</v>
      </c>
      <c r="F14" s="405">
        <f>CurRates!G11</f>
        <v>4.5100000000000001E-3</v>
      </c>
      <c r="G14" s="402" t="s">
        <v>240</v>
      </c>
      <c r="H14" s="29"/>
      <c r="I14" s="116" t="s">
        <v>52</v>
      </c>
      <c r="J14" s="142">
        <v>50000</v>
      </c>
      <c r="K14" s="116" t="s">
        <v>188</v>
      </c>
      <c r="L14" s="405">
        <f t="shared" si="1"/>
        <v>5.2700000000000004E-3</v>
      </c>
      <c r="M14" s="402" t="s">
        <v>240</v>
      </c>
      <c r="O14" s="410">
        <f t="shared" si="2"/>
        <v>7.6000000000000026E-4</v>
      </c>
      <c r="Q14" s="545">
        <f t="shared" si="3"/>
        <v>0.16900000000000001</v>
      </c>
      <c r="S14" s="410">
        <f t="shared" si="0"/>
        <v>4.5100000000000001E-3</v>
      </c>
      <c r="T14" s="410">
        <f t="shared" si="4"/>
        <v>7.6999999999999996E-4</v>
      </c>
      <c r="U14" s="410">
        <v>-1.0000000000000001E-5</v>
      </c>
      <c r="V14" s="410">
        <f t="shared" si="5"/>
        <v>5.2700000000000004E-3</v>
      </c>
    </row>
    <row r="15" spans="2:22" x14ac:dyDescent="0.5">
      <c r="B15" s="29"/>
      <c r="C15" s="116" t="s">
        <v>114</v>
      </c>
      <c r="D15" s="142">
        <f>SUM(D11:D14)</f>
        <v>100000</v>
      </c>
      <c r="E15" s="116" t="s">
        <v>188</v>
      </c>
      <c r="F15" s="405">
        <f>CurRates!G12</f>
        <v>3.7599999999999999E-3</v>
      </c>
      <c r="G15" s="402" t="s">
        <v>240</v>
      </c>
      <c r="H15" s="29"/>
      <c r="I15" s="116" t="s">
        <v>114</v>
      </c>
      <c r="J15" s="142">
        <f>SUM(J11:J14)</f>
        <v>100000</v>
      </c>
      <c r="K15" s="116" t="s">
        <v>188</v>
      </c>
      <c r="L15" s="405">
        <f t="shared" si="1"/>
        <v>4.3900000000000007E-3</v>
      </c>
      <c r="M15" s="402" t="s">
        <v>240</v>
      </c>
      <c r="O15" s="410">
        <f t="shared" si="2"/>
        <v>6.3000000000000079E-4</v>
      </c>
      <c r="Q15" s="545">
        <f t="shared" si="3"/>
        <v>0.16800000000000001</v>
      </c>
      <c r="S15" s="410">
        <f t="shared" si="0"/>
        <v>3.7599999999999999E-3</v>
      </c>
      <c r="T15" s="410">
        <f t="shared" si="4"/>
        <v>6.4000000000000005E-4</v>
      </c>
      <c r="U15" s="410">
        <v>-1.0000000000000001E-5</v>
      </c>
      <c r="V15" s="410">
        <f t="shared" si="5"/>
        <v>4.3900000000000007E-3</v>
      </c>
    </row>
    <row r="16" spans="2:22" x14ac:dyDescent="0.5">
      <c r="B16" s="29"/>
      <c r="C16" s="116"/>
      <c r="D16" s="142"/>
      <c r="E16" s="116"/>
      <c r="F16" s="404"/>
      <c r="G16" s="402"/>
      <c r="H16" s="29"/>
      <c r="I16" s="116"/>
      <c r="J16" s="142"/>
      <c r="K16" s="116"/>
      <c r="L16" s="405"/>
      <c r="M16" s="402"/>
      <c r="U16" s="212">
        <f>ROUND(S8*J16,5)</f>
        <v>0</v>
      </c>
    </row>
    <row r="17" spans="2:24" x14ac:dyDescent="0.5">
      <c r="B17" s="29"/>
      <c r="C17" s="116" t="s">
        <v>334</v>
      </c>
      <c r="D17" s="142"/>
      <c r="E17" s="116"/>
      <c r="F17" s="116"/>
      <c r="G17" s="402"/>
      <c r="H17" s="29"/>
      <c r="I17" s="116" t="s">
        <v>334</v>
      </c>
      <c r="J17" s="142"/>
      <c r="K17" s="116"/>
      <c r="L17" s="116"/>
      <c r="M17" s="402"/>
    </row>
    <row r="18" spans="2:24" x14ac:dyDescent="0.5">
      <c r="B18" s="29"/>
      <c r="C18" s="116" t="s">
        <v>51</v>
      </c>
      <c r="D18" s="142">
        <v>5000</v>
      </c>
      <c r="E18" s="116" t="s">
        <v>188</v>
      </c>
      <c r="F18" s="404">
        <f>CurRates!G15</f>
        <v>38.68</v>
      </c>
      <c r="G18" s="402" t="s">
        <v>241</v>
      </c>
      <c r="H18" s="29"/>
      <c r="I18" s="116" t="s">
        <v>51</v>
      </c>
      <c r="J18" s="142">
        <v>5000</v>
      </c>
      <c r="K18" s="116" t="s">
        <v>188</v>
      </c>
      <c r="L18" s="404">
        <f>V18</f>
        <v>45.25</v>
      </c>
      <c r="M18" s="402" t="s">
        <v>241</v>
      </c>
      <c r="O18" s="77">
        <f>L18-F18</f>
        <v>6.57</v>
      </c>
      <c r="Q18" s="545">
        <f>ROUND(O18/F18,3)</f>
        <v>0.17</v>
      </c>
      <c r="S18" s="409">
        <f>F18</f>
        <v>38.68</v>
      </c>
      <c r="T18" s="409">
        <f>ROUND(S$7*S18,2)</f>
        <v>6.58</v>
      </c>
      <c r="U18" s="410">
        <v>-0.01</v>
      </c>
      <c r="V18" s="409">
        <f>SUM(S18:U18)</f>
        <v>45.25</v>
      </c>
    </row>
    <row r="19" spans="2:24" x14ac:dyDescent="0.5">
      <c r="B19" s="29"/>
      <c r="C19" s="116" t="s">
        <v>52</v>
      </c>
      <c r="D19" s="142">
        <v>1000</v>
      </c>
      <c r="E19" s="116" t="s">
        <v>188</v>
      </c>
      <c r="F19" s="405">
        <f>CurRates!G16</f>
        <v>5.8999999999999999E-3</v>
      </c>
      <c r="G19" s="402" t="s">
        <v>240</v>
      </c>
      <c r="H19" s="29"/>
      <c r="I19" s="116" t="s">
        <v>52</v>
      </c>
      <c r="J19" s="142">
        <v>1000</v>
      </c>
      <c r="K19" s="116" t="s">
        <v>188</v>
      </c>
      <c r="L19" s="405">
        <f>L12</f>
        <v>6.8900000000000003E-3</v>
      </c>
      <c r="M19" s="402" t="s">
        <v>240</v>
      </c>
      <c r="S19" s="410"/>
      <c r="T19" s="410"/>
      <c r="U19" s="410"/>
      <c r="V19" s="410"/>
      <c r="W19" s="210"/>
      <c r="X19" s="210"/>
    </row>
    <row r="20" spans="2:24" x14ac:dyDescent="0.5">
      <c r="B20" s="29"/>
      <c r="C20" s="116" t="s">
        <v>52</v>
      </c>
      <c r="D20" s="142">
        <v>44000</v>
      </c>
      <c r="E20" s="116" t="s">
        <v>188</v>
      </c>
      <c r="F20" s="405">
        <f>CurRates!G17</f>
        <v>5.2399999999999999E-3</v>
      </c>
      <c r="G20" s="402" t="s">
        <v>240</v>
      </c>
      <c r="H20" s="29"/>
      <c r="I20" s="116" t="s">
        <v>52</v>
      </c>
      <c r="J20" s="142">
        <v>44000</v>
      </c>
      <c r="K20" s="116" t="s">
        <v>188</v>
      </c>
      <c r="L20" s="405">
        <f t="shared" ref="L20:L22" si="6">L13</f>
        <v>6.1200000000000004E-3</v>
      </c>
      <c r="M20" s="402" t="s">
        <v>240</v>
      </c>
      <c r="S20" s="410"/>
      <c r="T20" s="410"/>
      <c r="U20" s="410"/>
      <c r="V20" s="410"/>
      <c r="W20" s="77"/>
      <c r="X20" s="211"/>
    </row>
    <row r="21" spans="2:24" x14ac:dyDescent="0.5">
      <c r="B21" s="29"/>
      <c r="C21" s="116" t="s">
        <v>52</v>
      </c>
      <c r="D21" s="142">
        <v>50000</v>
      </c>
      <c r="E21" s="116" t="s">
        <v>188</v>
      </c>
      <c r="F21" s="405">
        <f>CurRates!G18</f>
        <v>4.5100000000000001E-3</v>
      </c>
      <c r="G21" s="402" t="s">
        <v>240</v>
      </c>
      <c r="H21" s="29"/>
      <c r="I21" s="116" t="s">
        <v>52</v>
      </c>
      <c r="J21" s="142">
        <v>50000</v>
      </c>
      <c r="K21" s="116" t="s">
        <v>188</v>
      </c>
      <c r="L21" s="405">
        <f t="shared" si="6"/>
        <v>5.2700000000000004E-3</v>
      </c>
      <c r="M21" s="402" t="s">
        <v>240</v>
      </c>
      <c r="S21" s="410"/>
      <c r="T21" s="410"/>
      <c r="U21" s="410"/>
      <c r="V21" s="410"/>
      <c r="W21" s="78"/>
      <c r="X21" s="211"/>
    </row>
    <row r="22" spans="2:24" x14ac:dyDescent="0.5">
      <c r="B22" s="29"/>
      <c r="C22" s="116" t="s">
        <v>114</v>
      </c>
      <c r="D22" s="142">
        <f>SUM(D18:D21)</f>
        <v>100000</v>
      </c>
      <c r="E22" s="116" t="s">
        <v>188</v>
      </c>
      <c r="F22" s="405">
        <f>CurRates!G19</f>
        <v>3.7599999999999999E-3</v>
      </c>
      <c r="G22" s="402" t="s">
        <v>240</v>
      </c>
      <c r="H22" s="29"/>
      <c r="I22" s="116" t="s">
        <v>114</v>
      </c>
      <c r="J22" s="142">
        <f>SUM(J18:J21)</f>
        <v>100000</v>
      </c>
      <c r="K22" s="116" t="s">
        <v>188</v>
      </c>
      <c r="L22" s="405">
        <f t="shared" si="6"/>
        <v>4.3900000000000007E-3</v>
      </c>
      <c r="M22" s="402" t="s">
        <v>240</v>
      </c>
      <c r="S22" s="410"/>
      <c r="T22" s="410"/>
      <c r="U22" s="410"/>
      <c r="V22" s="410"/>
      <c r="W22" s="78"/>
      <c r="X22" s="211"/>
    </row>
    <row r="23" spans="2:24" x14ac:dyDescent="0.5">
      <c r="B23" s="29"/>
      <c r="C23" s="116"/>
      <c r="D23" s="142"/>
      <c r="E23" s="116"/>
      <c r="F23" s="405"/>
      <c r="G23" s="402"/>
      <c r="H23" s="29"/>
      <c r="I23" s="116"/>
      <c r="J23" s="142"/>
      <c r="K23" s="116"/>
      <c r="L23" s="405"/>
      <c r="M23" s="402"/>
      <c r="N23" s="79"/>
      <c r="O23" s="79"/>
      <c r="P23" s="79"/>
      <c r="Q23" s="79"/>
      <c r="R23" s="79"/>
      <c r="S23" s="79"/>
      <c r="T23" s="79"/>
      <c r="V23" s="78"/>
      <c r="W23" s="78"/>
      <c r="X23" s="211"/>
    </row>
    <row r="24" spans="2:24" x14ac:dyDescent="0.5">
      <c r="B24" s="29"/>
      <c r="C24" s="116" t="s">
        <v>335</v>
      </c>
      <c r="D24" s="142"/>
      <c r="E24" s="116"/>
      <c r="F24" s="405"/>
      <c r="G24" s="402"/>
      <c r="H24" s="29"/>
      <c r="I24" s="116" t="s">
        <v>335</v>
      </c>
      <c r="J24" s="142"/>
      <c r="K24" s="116"/>
      <c r="L24" s="405"/>
      <c r="M24" s="402"/>
    </row>
    <row r="25" spans="2:24" x14ac:dyDescent="0.5">
      <c r="B25" s="29"/>
      <c r="C25" s="116" t="s">
        <v>51</v>
      </c>
      <c r="D25" s="142">
        <v>10000</v>
      </c>
      <c r="E25" s="116" t="s">
        <v>188</v>
      </c>
      <c r="F25" s="404">
        <f>CurRates!G22</f>
        <v>69.11</v>
      </c>
      <c r="G25" s="402" t="s">
        <v>241</v>
      </c>
      <c r="H25" s="29"/>
      <c r="I25" s="116" t="s">
        <v>51</v>
      </c>
      <c r="J25" s="142">
        <v>10000</v>
      </c>
      <c r="K25" s="116" t="s">
        <v>188</v>
      </c>
      <c r="L25" s="404">
        <f>V25</f>
        <v>80.849999999999994</v>
      </c>
      <c r="M25" s="402" t="s">
        <v>241</v>
      </c>
      <c r="O25" s="77">
        <f>L25-F25</f>
        <v>11.739999999999995</v>
      </c>
      <c r="Q25" s="545">
        <f>ROUND(O25/F25,3)</f>
        <v>0.17</v>
      </c>
      <c r="S25" s="409">
        <f>F25</f>
        <v>69.11</v>
      </c>
      <c r="T25" s="409">
        <f>ROUND(S$7*S25,2)</f>
        <v>11.75</v>
      </c>
      <c r="U25" s="410">
        <v>-0.01</v>
      </c>
      <c r="V25" s="409">
        <f>SUM(S25:U25)</f>
        <v>80.849999999999994</v>
      </c>
    </row>
    <row r="26" spans="2:24" x14ac:dyDescent="0.5">
      <c r="B26" s="29"/>
      <c r="C26" s="116" t="s">
        <v>52</v>
      </c>
      <c r="D26" s="142">
        <v>40000</v>
      </c>
      <c r="E26" s="116" t="s">
        <v>188</v>
      </c>
      <c r="F26" s="405">
        <f>CurRates!G23</f>
        <v>5.2399999999999999E-3</v>
      </c>
      <c r="G26" s="402" t="s">
        <v>240</v>
      </c>
      <c r="H26" s="29"/>
      <c r="I26" s="116" t="s">
        <v>52</v>
      </c>
      <c r="J26" s="142">
        <v>40000</v>
      </c>
      <c r="K26" s="116" t="s">
        <v>188</v>
      </c>
      <c r="L26" s="405">
        <f>L20</f>
        <v>6.1200000000000004E-3</v>
      </c>
      <c r="M26" s="402" t="s">
        <v>240</v>
      </c>
      <c r="S26" s="410"/>
      <c r="T26" s="410"/>
      <c r="U26" s="410"/>
      <c r="V26" s="410"/>
    </row>
    <row r="27" spans="2:24" x14ac:dyDescent="0.5">
      <c r="B27" s="29"/>
      <c r="C27" s="116" t="s">
        <v>52</v>
      </c>
      <c r="D27" s="142">
        <v>50000</v>
      </c>
      <c r="E27" s="116" t="s">
        <v>188</v>
      </c>
      <c r="F27" s="405">
        <f>CurRates!G24</f>
        <v>4.5100000000000001E-3</v>
      </c>
      <c r="G27" s="402" t="s">
        <v>240</v>
      </c>
      <c r="H27" s="29"/>
      <c r="I27" s="116" t="s">
        <v>52</v>
      </c>
      <c r="J27" s="142">
        <v>50000</v>
      </c>
      <c r="K27" s="116" t="s">
        <v>188</v>
      </c>
      <c r="L27" s="405">
        <f t="shared" ref="L27:L28" si="7">L21</f>
        <v>5.2700000000000004E-3</v>
      </c>
      <c r="M27" s="402" t="s">
        <v>240</v>
      </c>
      <c r="S27" s="410"/>
      <c r="T27" s="410"/>
      <c r="U27" s="410"/>
      <c r="V27" s="410"/>
    </row>
    <row r="28" spans="2:24" x14ac:dyDescent="0.5">
      <c r="B28" s="29"/>
      <c r="C28" s="116" t="s">
        <v>114</v>
      </c>
      <c r="D28" s="142">
        <f>SUM(D24:D27)</f>
        <v>100000</v>
      </c>
      <c r="E28" s="116" t="s">
        <v>188</v>
      </c>
      <c r="F28" s="405">
        <f>CurRates!G25</f>
        <v>3.7599999999999999E-3</v>
      </c>
      <c r="G28" s="402" t="s">
        <v>240</v>
      </c>
      <c r="H28" s="29"/>
      <c r="I28" s="116" t="s">
        <v>114</v>
      </c>
      <c r="J28" s="142">
        <f>SUM(J24:J27)</f>
        <v>100000</v>
      </c>
      <c r="K28" s="116" t="s">
        <v>188</v>
      </c>
      <c r="L28" s="405">
        <f t="shared" si="7"/>
        <v>4.3900000000000007E-3</v>
      </c>
      <c r="M28" s="402" t="s">
        <v>240</v>
      </c>
      <c r="S28" s="410"/>
      <c r="T28" s="410"/>
      <c r="U28" s="410"/>
      <c r="V28" s="410"/>
    </row>
    <row r="29" spans="2:24" x14ac:dyDescent="0.5">
      <c r="B29" s="29"/>
      <c r="C29" s="116"/>
      <c r="D29" s="142"/>
      <c r="E29" s="116"/>
      <c r="F29" s="405"/>
      <c r="G29" s="402"/>
      <c r="H29" s="29"/>
      <c r="I29" s="116"/>
      <c r="J29" s="142"/>
      <c r="K29" s="116"/>
      <c r="L29" s="405"/>
      <c r="M29" s="402"/>
      <c r="S29" s="410"/>
      <c r="T29" s="410"/>
      <c r="U29" s="410"/>
      <c r="V29" s="410"/>
    </row>
    <row r="30" spans="2:24" x14ac:dyDescent="0.5">
      <c r="B30" s="29"/>
      <c r="C30" s="116" t="s">
        <v>336</v>
      </c>
      <c r="D30" s="142"/>
      <c r="E30" s="116"/>
      <c r="F30" s="116"/>
      <c r="G30" s="402"/>
      <c r="H30" s="29"/>
      <c r="I30" s="116" t="s">
        <v>336</v>
      </c>
      <c r="J30" s="142"/>
      <c r="K30" s="116"/>
      <c r="L30" s="116"/>
      <c r="M30" s="402"/>
      <c r="S30" s="410"/>
      <c r="T30" s="410"/>
      <c r="U30" s="410"/>
      <c r="V30" s="410"/>
    </row>
    <row r="31" spans="2:24" x14ac:dyDescent="0.5">
      <c r="B31" s="29"/>
      <c r="C31" s="116" t="s">
        <v>51</v>
      </c>
      <c r="D31" s="142">
        <v>16000</v>
      </c>
      <c r="E31" s="116" t="s">
        <v>188</v>
      </c>
      <c r="F31" s="404">
        <f>CurRates!G28</f>
        <v>101.44</v>
      </c>
      <c r="G31" s="402" t="s">
        <v>241</v>
      </c>
      <c r="H31" s="29"/>
      <c r="I31" s="116" t="s">
        <v>51</v>
      </c>
      <c r="J31" s="142">
        <v>16000</v>
      </c>
      <c r="K31" s="116" t="s">
        <v>188</v>
      </c>
      <c r="L31" s="404">
        <f>V31</f>
        <v>118.66999999999999</v>
      </c>
      <c r="M31" s="402" t="s">
        <v>241</v>
      </c>
      <c r="O31" s="77">
        <f>L31-F31</f>
        <v>17.22999999999999</v>
      </c>
      <c r="Q31" s="545">
        <f>ROUND(O31/F31,3)</f>
        <v>0.17</v>
      </c>
      <c r="S31" s="409">
        <f>F31</f>
        <v>101.44</v>
      </c>
      <c r="T31" s="409">
        <f>ROUND(S$7*S31,2)</f>
        <v>17.239999999999998</v>
      </c>
      <c r="U31" s="410">
        <v>-0.01</v>
      </c>
      <c r="V31" s="409">
        <f>SUM(S31:U31)</f>
        <v>118.66999999999999</v>
      </c>
    </row>
    <row r="32" spans="2:24" x14ac:dyDescent="0.5">
      <c r="B32" s="29"/>
      <c r="C32" s="116" t="s">
        <v>52</v>
      </c>
      <c r="D32" s="142">
        <v>34000</v>
      </c>
      <c r="E32" s="116" t="s">
        <v>188</v>
      </c>
      <c r="F32" s="405">
        <f>CurRates!G29</f>
        <v>5.2399999999999999E-3</v>
      </c>
      <c r="G32" s="402" t="s">
        <v>240</v>
      </c>
      <c r="H32" s="29"/>
      <c r="I32" s="116" t="s">
        <v>52</v>
      </c>
      <c r="J32" s="142">
        <v>34000</v>
      </c>
      <c r="K32" s="116" t="s">
        <v>188</v>
      </c>
      <c r="L32" s="405">
        <f>L26</f>
        <v>6.1200000000000004E-3</v>
      </c>
      <c r="M32" s="402" t="s">
        <v>240</v>
      </c>
      <c r="S32" s="410"/>
      <c r="T32" s="410"/>
      <c r="U32" s="410"/>
      <c r="V32" s="410"/>
    </row>
    <row r="33" spans="2:22" x14ac:dyDescent="0.5">
      <c r="B33" s="29"/>
      <c r="C33" s="116" t="s">
        <v>52</v>
      </c>
      <c r="D33" s="142">
        <v>50000</v>
      </c>
      <c r="E33" s="116" t="s">
        <v>188</v>
      </c>
      <c r="F33" s="405">
        <f>CurRates!G30</f>
        <v>4.5100000000000001E-3</v>
      </c>
      <c r="G33" s="402" t="s">
        <v>240</v>
      </c>
      <c r="H33" s="29"/>
      <c r="I33" s="116" t="s">
        <v>52</v>
      </c>
      <c r="J33" s="142">
        <v>50000</v>
      </c>
      <c r="K33" s="116" t="s">
        <v>188</v>
      </c>
      <c r="L33" s="405">
        <f t="shared" ref="L33:L34" si="8">L27</f>
        <v>5.2700000000000004E-3</v>
      </c>
      <c r="M33" s="402" t="s">
        <v>240</v>
      </c>
      <c r="S33" s="410"/>
      <c r="T33" s="410"/>
      <c r="U33" s="410"/>
      <c r="V33" s="410"/>
    </row>
    <row r="34" spans="2:22" x14ac:dyDescent="0.5">
      <c r="B34" s="29"/>
      <c r="C34" s="116" t="s">
        <v>114</v>
      </c>
      <c r="D34" s="142">
        <f>SUM(D30:D33)</f>
        <v>100000</v>
      </c>
      <c r="E34" s="116" t="s">
        <v>188</v>
      </c>
      <c r="F34" s="405">
        <f>CurRates!G31</f>
        <v>3.7599999999999999E-3</v>
      </c>
      <c r="G34" s="402" t="s">
        <v>240</v>
      </c>
      <c r="H34" s="29"/>
      <c r="I34" s="116" t="s">
        <v>114</v>
      </c>
      <c r="J34" s="142">
        <f>SUM(J30:J33)</f>
        <v>100000</v>
      </c>
      <c r="K34" s="116" t="s">
        <v>188</v>
      </c>
      <c r="L34" s="405">
        <f t="shared" si="8"/>
        <v>4.3900000000000007E-3</v>
      </c>
      <c r="M34" s="402" t="s">
        <v>240</v>
      </c>
      <c r="S34" s="410"/>
      <c r="T34" s="410"/>
      <c r="U34" s="410"/>
      <c r="V34" s="410"/>
    </row>
    <row r="35" spans="2:22" x14ac:dyDescent="0.5">
      <c r="B35" s="29"/>
      <c r="C35" s="116"/>
      <c r="D35" s="142"/>
      <c r="E35" s="116"/>
      <c r="F35" s="405"/>
      <c r="G35" s="402"/>
      <c r="H35" s="29"/>
      <c r="I35" s="116"/>
      <c r="J35" s="142"/>
      <c r="K35" s="116"/>
      <c r="L35" s="405"/>
      <c r="M35" s="402"/>
    </row>
    <row r="36" spans="2:22" x14ac:dyDescent="0.5">
      <c r="B36" s="29"/>
      <c r="C36" s="116" t="s">
        <v>337</v>
      </c>
      <c r="D36" s="142"/>
      <c r="E36" s="116"/>
      <c r="F36" s="116"/>
      <c r="G36" s="402"/>
      <c r="H36" s="29"/>
      <c r="I36" s="116" t="s">
        <v>337</v>
      </c>
      <c r="J36" s="142"/>
      <c r="K36" s="116"/>
      <c r="L36" s="116"/>
      <c r="M36" s="402"/>
    </row>
    <row r="37" spans="2:22" x14ac:dyDescent="0.5">
      <c r="B37" s="29"/>
      <c r="C37" s="116" t="s">
        <v>51</v>
      </c>
      <c r="D37" s="142">
        <v>25000</v>
      </c>
      <c r="E37" s="116" t="s">
        <v>188</v>
      </c>
      <c r="F37" s="404">
        <f>CurRates!G34</f>
        <v>164.67</v>
      </c>
      <c r="G37" s="402" t="s">
        <v>241</v>
      </c>
      <c r="H37" s="29"/>
      <c r="I37" s="116" t="s">
        <v>51</v>
      </c>
      <c r="J37" s="142">
        <v>25000</v>
      </c>
      <c r="K37" s="116" t="s">
        <v>188</v>
      </c>
      <c r="L37" s="404">
        <f>V37</f>
        <v>192.65</v>
      </c>
      <c r="M37" s="402" t="s">
        <v>241</v>
      </c>
      <c r="O37" s="77">
        <f>L37-F37</f>
        <v>27.980000000000018</v>
      </c>
      <c r="Q37" s="545">
        <f>ROUND(O37/F37,3)</f>
        <v>0.17</v>
      </c>
      <c r="S37" s="409">
        <f>F37</f>
        <v>164.67</v>
      </c>
      <c r="T37" s="409">
        <f>ROUND(S$7*S37,2)</f>
        <v>27.99</v>
      </c>
      <c r="U37" s="410">
        <v>-0.01</v>
      </c>
      <c r="V37" s="409">
        <f>SUM(S37:U37)</f>
        <v>192.65</v>
      </c>
    </row>
    <row r="38" spans="2:22" x14ac:dyDescent="0.5">
      <c r="B38" s="29"/>
      <c r="C38" s="116" t="s">
        <v>52</v>
      </c>
      <c r="D38" s="142">
        <v>25000</v>
      </c>
      <c r="E38" s="116" t="s">
        <v>188</v>
      </c>
      <c r="F38" s="405">
        <f>CurRates!G35</f>
        <v>5.2399999999999999E-3</v>
      </c>
      <c r="G38" s="402" t="s">
        <v>240</v>
      </c>
      <c r="H38" s="29"/>
      <c r="I38" s="116" t="s">
        <v>52</v>
      </c>
      <c r="J38" s="142">
        <v>25000</v>
      </c>
      <c r="K38" s="116" t="s">
        <v>188</v>
      </c>
      <c r="L38" s="405">
        <f>L32</f>
        <v>6.1200000000000004E-3</v>
      </c>
      <c r="M38" s="402" t="s">
        <v>240</v>
      </c>
      <c r="S38" s="410"/>
      <c r="T38" s="410"/>
      <c r="U38" s="410"/>
      <c r="V38" s="410"/>
    </row>
    <row r="39" spans="2:22" x14ac:dyDescent="0.5">
      <c r="B39" s="29"/>
      <c r="C39" s="116" t="s">
        <v>52</v>
      </c>
      <c r="D39" s="142">
        <v>50000</v>
      </c>
      <c r="E39" s="116" t="s">
        <v>188</v>
      </c>
      <c r="F39" s="405">
        <f>CurRates!G36</f>
        <v>4.5100000000000001E-3</v>
      </c>
      <c r="G39" s="402" t="s">
        <v>240</v>
      </c>
      <c r="H39" s="29"/>
      <c r="I39" s="116" t="s">
        <v>52</v>
      </c>
      <c r="J39" s="142">
        <v>50000</v>
      </c>
      <c r="K39" s="116" t="s">
        <v>188</v>
      </c>
      <c r="L39" s="405">
        <f t="shared" ref="L39:L40" si="9">L33</f>
        <v>5.2700000000000004E-3</v>
      </c>
      <c r="M39" s="402" t="s">
        <v>240</v>
      </c>
      <c r="S39" s="410"/>
      <c r="T39" s="410"/>
      <c r="U39" s="410"/>
      <c r="V39" s="410"/>
    </row>
    <row r="40" spans="2:22" x14ac:dyDescent="0.5">
      <c r="B40" s="29"/>
      <c r="C40" s="116" t="s">
        <v>114</v>
      </c>
      <c r="D40" s="142">
        <f>SUM(D36:D39)</f>
        <v>100000</v>
      </c>
      <c r="E40" s="116" t="s">
        <v>188</v>
      </c>
      <c r="F40" s="405">
        <f>CurRates!G37</f>
        <v>3.7599999999999999E-3</v>
      </c>
      <c r="G40" s="402" t="s">
        <v>240</v>
      </c>
      <c r="H40" s="29"/>
      <c r="I40" s="116" t="s">
        <v>114</v>
      </c>
      <c r="J40" s="142">
        <f>SUM(J36:J39)</f>
        <v>100000</v>
      </c>
      <c r="K40" s="116" t="s">
        <v>188</v>
      </c>
      <c r="L40" s="405">
        <f t="shared" si="9"/>
        <v>4.3900000000000007E-3</v>
      </c>
      <c r="M40" s="402" t="s">
        <v>240</v>
      </c>
      <c r="S40" s="410"/>
      <c r="T40" s="410"/>
      <c r="U40" s="410"/>
      <c r="V40" s="410"/>
    </row>
    <row r="41" spans="2:22" x14ac:dyDescent="0.5">
      <c r="B41" s="29"/>
      <c r="C41" s="116"/>
      <c r="D41" s="142"/>
      <c r="E41" s="116"/>
      <c r="F41" s="405"/>
      <c r="G41" s="402"/>
      <c r="H41" s="29"/>
      <c r="I41" s="116"/>
      <c r="J41" s="142"/>
      <c r="K41" s="116"/>
      <c r="L41" s="405"/>
      <c r="M41" s="402"/>
    </row>
    <row r="42" spans="2:22" x14ac:dyDescent="0.5">
      <c r="B42" s="29"/>
      <c r="C42" s="116" t="s">
        <v>338</v>
      </c>
      <c r="D42" s="142"/>
      <c r="E42" s="116"/>
      <c r="F42" s="116"/>
      <c r="G42" s="402"/>
      <c r="H42" s="29"/>
      <c r="I42" s="116" t="s">
        <v>338</v>
      </c>
      <c r="J42" s="142"/>
      <c r="K42" s="116"/>
      <c r="L42" s="116"/>
      <c r="M42" s="402"/>
    </row>
    <row r="43" spans="2:22" x14ac:dyDescent="0.5">
      <c r="B43" s="29"/>
      <c r="C43" s="116" t="s">
        <v>51</v>
      </c>
      <c r="D43" s="142">
        <v>30000</v>
      </c>
      <c r="E43" s="116" t="s">
        <v>188</v>
      </c>
      <c r="F43" s="404">
        <f>CurRates!G40</f>
        <v>227.81</v>
      </c>
      <c r="G43" s="402" t="s">
        <v>241</v>
      </c>
      <c r="H43" s="29"/>
      <c r="I43" s="116" t="s">
        <v>51</v>
      </c>
      <c r="J43" s="142">
        <v>30000</v>
      </c>
      <c r="K43" s="116" t="s">
        <v>188</v>
      </c>
      <c r="L43" s="404">
        <f>V43</f>
        <v>266.53000000000003</v>
      </c>
      <c r="M43" s="402" t="s">
        <v>241</v>
      </c>
      <c r="O43" s="77">
        <f>L43-F43</f>
        <v>38.720000000000027</v>
      </c>
      <c r="Q43" s="545">
        <f>ROUND(O43/F43,3)</f>
        <v>0.17</v>
      </c>
      <c r="S43" s="409">
        <f>F43</f>
        <v>227.81</v>
      </c>
      <c r="T43" s="409">
        <f>ROUND(S$7*S43,2)</f>
        <v>38.729999999999997</v>
      </c>
      <c r="U43" s="410">
        <v>-0.01</v>
      </c>
      <c r="V43" s="409">
        <f>SUM(S43:U43)</f>
        <v>266.53000000000003</v>
      </c>
    </row>
    <row r="44" spans="2:22" x14ac:dyDescent="0.5">
      <c r="B44" s="29"/>
      <c r="C44" s="116" t="s">
        <v>52</v>
      </c>
      <c r="D44" s="142">
        <v>20000</v>
      </c>
      <c r="E44" s="116" t="s">
        <v>188</v>
      </c>
      <c r="F44" s="405">
        <f>CurRates!G41</f>
        <v>5.2399999999999999E-3</v>
      </c>
      <c r="G44" s="402" t="s">
        <v>240</v>
      </c>
      <c r="H44" s="29"/>
      <c r="I44" s="116" t="s">
        <v>52</v>
      </c>
      <c r="J44" s="142">
        <v>20000</v>
      </c>
      <c r="K44" s="116" t="s">
        <v>188</v>
      </c>
      <c r="L44" s="405">
        <f>L38</f>
        <v>6.1200000000000004E-3</v>
      </c>
      <c r="M44" s="402" t="s">
        <v>240</v>
      </c>
      <c r="S44" s="410"/>
      <c r="T44" s="410"/>
      <c r="U44" s="410"/>
      <c r="V44" s="410"/>
    </row>
    <row r="45" spans="2:22" x14ac:dyDescent="0.5">
      <c r="B45" s="29"/>
      <c r="C45" s="116" t="s">
        <v>52</v>
      </c>
      <c r="D45" s="142">
        <v>50000</v>
      </c>
      <c r="E45" s="116" t="s">
        <v>188</v>
      </c>
      <c r="F45" s="405">
        <f>CurRates!G42</f>
        <v>4.5100000000000001E-3</v>
      </c>
      <c r="G45" s="402" t="s">
        <v>240</v>
      </c>
      <c r="H45" s="29"/>
      <c r="I45" s="116" t="s">
        <v>52</v>
      </c>
      <c r="J45" s="142">
        <v>50000</v>
      </c>
      <c r="K45" s="116" t="s">
        <v>188</v>
      </c>
      <c r="L45" s="405">
        <f t="shared" ref="L45:L46" si="10">L39</f>
        <v>5.2700000000000004E-3</v>
      </c>
      <c r="M45" s="402" t="s">
        <v>240</v>
      </c>
      <c r="S45" s="410"/>
      <c r="T45" s="410"/>
      <c r="U45" s="410"/>
      <c r="V45" s="410"/>
    </row>
    <row r="46" spans="2:22" x14ac:dyDescent="0.5">
      <c r="B46" s="29"/>
      <c r="C46" s="116" t="s">
        <v>114</v>
      </c>
      <c r="D46" s="142">
        <f>SUM(D42:D45)</f>
        <v>100000</v>
      </c>
      <c r="E46" s="116" t="s">
        <v>188</v>
      </c>
      <c r="F46" s="405">
        <f>CurRates!G43</f>
        <v>3.7599999999999999E-3</v>
      </c>
      <c r="G46" s="402" t="s">
        <v>240</v>
      </c>
      <c r="H46" s="29"/>
      <c r="I46" s="116" t="s">
        <v>114</v>
      </c>
      <c r="J46" s="142">
        <f>SUM(J42:J45)</f>
        <v>100000</v>
      </c>
      <c r="K46" s="116" t="s">
        <v>188</v>
      </c>
      <c r="L46" s="405">
        <f t="shared" si="10"/>
        <v>4.3900000000000007E-3</v>
      </c>
      <c r="M46" s="402" t="s">
        <v>240</v>
      </c>
      <c r="S46" s="410"/>
      <c r="T46" s="410"/>
      <c r="U46" s="410"/>
      <c r="V46" s="410"/>
    </row>
    <row r="47" spans="2:22" x14ac:dyDescent="0.5">
      <c r="B47" s="29"/>
      <c r="C47" s="116"/>
      <c r="D47" s="142"/>
      <c r="E47" s="116"/>
      <c r="F47" s="405"/>
      <c r="G47" s="402"/>
      <c r="H47" s="29"/>
      <c r="I47" s="116"/>
      <c r="J47" s="142"/>
      <c r="K47" s="116"/>
      <c r="L47" s="405"/>
      <c r="M47" s="402"/>
    </row>
    <row r="48" spans="2:22" x14ac:dyDescent="0.5">
      <c r="B48" s="29"/>
      <c r="C48" s="116" t="s">
        <v>339</v>
      </c>
      <c r="D48" s="142"/>
      <c r="E48" s="116"/>
      <c r="F48" s="116"/>
      <c r="G48" s="402"/>
      <c r="H48" s="29"/>
      <c r="I48" s="116" t="s">
        <v>339</v>
      </c>
      <c r="J48" s="142"/>
      <c r="K48" s="116"/>
      <c r="L48" s="116"/>
      <c r="M48" s="402"/>
    </row>
    <row r="49" spans="2:22" x14ac:dyDescent="0.5">
      <c r="B49" s="29"/>
      <c r="C49" s="116" t="s">
        <v>51</v>
      </c>
      <c r="D49" s="142">
        <v>60000</v>
      </c>
      <c r="E49" s="116" t="s">
        <v>188</v>
      </c>
      <c r="F49" s="404">
        <f>CurRates!G46</f>
        <v>397.91</v>
      </c>
      <c r="G49" s="402" t="s">
        <v>241</v>
      </c>
      <c r="H49" s="29"/>
      <c r="I49" s="116" t="s">
        <v>51</v>
      </c>
      <c r="J49" s="142">
        <v>60000</v>
      </c>
      <c r="K49" s="116" t="s">
        <v>188</v>
      </c>
      <c r="L49" s="404">
        <f>V49</f>
        <v>465.54</v>
      </c>
      <c r="M49" s="402" t="s">
        <v>241</v>
      </c>
      <c r="O49" s="77">
        <f>L49-F49</f>
        <v>67.63</v>
      </c>
      <c r="Q49" s="545">
        <f>ROUND(O49/F49,3)</f>
        <v>0.17</v>
      </c>
      <c r="S49" s="409">
        <f>F49</f>
        <v>397.91</v>
      </c>
      <c r="T49" s="409">
        <f>ROUND(S$7*S49,2)</f>
        <v>67.64</v>
      </c>
      <c r="U49" s="410">
        <v>-0.01</v>
      </c>
      <c r="V49" s="409">
        <f>SUM(S49:U49)</f>
        <v>465.54</v>
      </c>
    </row>
    <row r="50" spans="2:22" x14ac:dyDescent="0.5">
      <c r="B50" s="29"/>
      <c r="C50" s="116" t="s">
        <v>52</v>
      </c>
      <c r="D50" s="142">
        <v>40000</v>
      </c>
      <c r="E50" s="116" t="s">
        <v>188</v>
      </c>
      <c r="F50" s="405">
        <f>CurRates!G47</f>
        <v>4.5100000000000001E-3</v>
      </c>
      <c r="G50" s="402" t="s">
        <v>240</v>
      </c>
      <c r="H50" s="29"/>
      <c r="I50" s="116" t="s">
        <v>52</v>
      </c>
      <c r="J50" s="142">
        <v>40000</v>
      </c>
      <c r="K50" s="116" t="s">
        <v>188</v>
      </c>
      <c r="L50" s="405">
        <f>L45</f>
        <v>5.2700000000000004E-3</v>
      </c>
      <c r="M50" s="402" t="s">
        <v>240</v>
      </c>
      <c r="S50" s="410"/>
      <c r="T50" s="410"/>
      <c r="U50" s="410"/>
      <c r="V50" s="410"/>
    </row>
    <row r="51" spans="2:22" x14ac:dyDescent="0.5">
      <c r="B51" s="29"/>
      <c r="C51" s="116" t="s">
        <v>114</v>
      </c>
      <c r="D51" s="142">
        <f>SUM(D48:D50)</f>
        <v>100000</v>
      </c>
      <c r="E51" s="116" t="s">
        <v>188</v>
      </c>
      <c r="F51" s="405">
        <f>CurRates!G48</f>
        <v>3.7599999999999999E-3</v>
      </c>
      <c r="G51" s="402" t="s">
        <v>240</v>
      </c>
      <c r="H51" s="29"/>
      <c r="I51" s="116" t="s">
        <v>114</v>
      </c>
      <c r="J51" s="142">
        <f>SUM(J48:J50)</f>
        <v>100000</v>
      </c>
      <c r="K51" s="116" t="s">
        <v>188</v>
      </c>
      <c r="L51" s="405">
        <f>L46</f>
        <v>4.3900000000000007E-3</v>
      </c>
      <c r="M51" s="402" t="s">
        <v>240</v>
      </c>
      <c r="S51" s="410"/>
      <c r="T51" s="410"/>
      <c r="U51" s="410"/>
      <c r="V51" s="410"/>
    </row>
    <row r="52" spans="2:22" x14ac:dyDescent="0.5">
      <c r="B52" s="29"/>
      <c r="C52" s="116"/>
      <c r="D52" s="142"/>
      <c r="E52" s="116"/>
      <c r="F52" s="405"/>
      <c r="G52" s="402"/>
      <c r="H52" s="29"/>
      <c r="I52" s="116"/>
      <c r="J52" s="142"/>
      <c r="K52" s="116"/>
      <c r="L52" s="405"/>
      <c r="M52" s="402"/>
      <c r="S52" s="410"/>
      <c r="T52" s="410"/>
      <c r="U52" s="410"/>
      <c r="V52" s="410"/>
    </row>
    <row r="53" spans="2:22" x14ac:dyDescent="0.5">
      <c r="B53" s="29"/>
      <c r="C53" s="116" t="s">
        <v>340</v>
      </c>
      <c r="D53" s="142"/>
      <c r="E53" s="116"/>
      <c r="F53" s="116"/>
      <c r="G53" s="402"/>
      <c r="H53" s="29"/>
      <c r="I53" s="116" t="s">
        <v>340</v>
      </c>
      <c r="J53" s="142"/>
      <c r="K53" s="116"/>
      <c r="L53" s="116"/>
      <c r="M53" s="402"/>
      <c r="U53" s="410"/>
    </row>
    <row r="54" spans="2:22" x14ac:dyDescent="0.5">
      <c r="B54" s="29"/>
      <c r="C54" s="116" t="s">
        <v>51</v>
      </c>
      <c r="D54" s="142">
        <v>80000</v>
      </c>
      <c r="E54" s="116" t="s">
        <v>188</v>
      </c>
      <c r="F54" s="404">
        <f>CurRates!G51</f>
        <v>504.71</v>
      </c>
      <c r="G54" s="402" t="s">
        <v>241</v>
      </c>
      <c r="H54" s="29"/>
      <c r="I54" s="116" t="s">
        <v>51</v>
      </c>
      <c r="J54" s="142">
        <v>80000</v>
      </c>
      <c r="K54" s="116" t="s">
        <v>188</v>
      </c>
      <c r="L54" s="404">
        <f>V54</f>
        <v>590.5</v>
      </c>
      <c r="M54" s="402" t="s">
        <v>241</v>
      </c>
      <c r="O54" s="77">
        <f>L54-F54</f>
        <v>85.79000000000002</v>
      </c>
      <c r="Q54" s="545">
        <f>ROUND(O54/F54,3)</f>
        <v>0.17</v>
      </c>
      <c r="S54" s="409">
        <f>F54</f>
        <v>504.71</v>
      </c>
      <c r="T54" s="409">
        <f>ROUND(S$7*S54,2)</f>
        <v>85.8</v>
      </c>
      <c r="U54" s="410">
        <v>-0.01</v>
      </c>
      <c r="V54" s="409">
        <f>SUM(S54:U54)</f>
        <v>590.5</v>
      </c>
    </row>
    <row r="55" spans="2:22" x14ac:dyDescent="0.5">
      <c r="B55" s="29"/>
      <c r="C55" s="116" t="s">
        <v>52</v>
      </c>
      <c r="D55" s="142">
        <v>20000</v>
      </c>
      <c r="E55" s="116" t="s">
        <v>188</v>
      </c>
      <c r="F55" s="405">
        <f>CurRates!G52</f>
        <v>4.5100000000000001E-3</v>
      </c>
      <c r="G55" s="402" t="s">
        <v>240</v>
      </c>
      <c r="H55" s="29"/>
      <c r="I55" s="116" t="s">
        <v>52</v>
      </c>
      <c r="J55" s="142">
        <v>20000</v>
      </c>
      <c r="K55" s="116" t="s">
        <v>188</v>
      </c>
      <c r="L55" s="405">
        <f>L50</f>
        <v>5.2700000000000004E-3</v>
      </c>
      <c r="M55" s="402" t="s">
        <v>240</v>
      </c>
      <c r="S55" s="410"/>
      <c r="T55" s="410"/>
      <c r="U55" s="410"/>
      <c r="V55" s="410"/>
    </row>
    <row r="56" spans="2:22" x14ac:dyDescent="0.5">
      <c r="B56" s="29"/>
      <c r="C56" s="116" t="s">
        <v>114</v>
      </c>
      <c r="D56" s="142">
        <f>SUM(D53:D55)</f>
        <v>100000</v>
      </c>
      <c r="E56" s="116" t="s">
        <v>188</v>
      </c>
      <c r="F56" s="405">
        <f>CurRates!G53</f>
        <v>3.7599999999999999E-3</v>
      </c>
      <c r="G56" s="402" t="s">
        <v>240</v>
      </c>
      <c r="H56" s="29"/>
      <c r="I56" s="116" t="s">
        <v>114</v>
      </c>
      <c r="J56" s="142">
        <f>SUM(J53:J55)</f>
        <v>100000</v>
      </c>
      <c r="K56" s="116" t="s">
        <v>188</v>
      </c>
      <c r="L56" s="405">
        <f>L51</f>
        <v>4.3900000000000007E-3</v>
      </c>
      <c r="M56" s="402" t="s">
        <v>240</v>
      </c>
      <c r="S56" s="410"/>
      <c r="T56" s="410"/>
      <c r="U56" s="410"/>
      <c r="V56" s="410"/>
    </row>
    <row r="57" spans="2:22" x14ac:dyDescent="0.5">
      <c r="B57" s="29"/>
      <c r="C57" s="116"/>
      <c r="D57" s="142"/>
      <c r="E57" s="116"/>
      <c r="F57" s="405"/>
      <c r="G57" s="402"/>
      <c r="H57" s="29"/>
      <c r="I57" s="116"/>
      <c r="J57" s="142"/>
      <c r="K57" s="116"/>
      <c r="L57" s="405"/>
      <c r="M57" s="402"/>
      <c r="S57" s="410"/>
      <c r="T57" s="410"/>
      <c r="U57" s="410"/>
      <c r="V57" s="410"/>
    </row>
    <row r="58" spans="2:22" x14ac:dyDescent="0.5">
      <c r="B58" s="29"/>
      <c r="C58" s="116" t="s">
        <v>460</v>
      </c>
      <c r="D58" s="142"/>
      <c r="E58" s="116"/>
      <c r="F58" s="405"/>
      <c r="G58" s="402"/>
      <c r="H58" s="29"/>
      <c r="I58" s="116" t="s">
        <v>460</v>
      </c>
      <c r="J58" s="142"/>
      <c r="K58" s="116"/>
      <c r="L58" s="404"/>
      <c r="M58" s="402"/>
      <c r="S58" s="410"/>
      <c r="T58" s="410"/>
      <c r="U58" s="410"/>
      <c r="V58" s="410"/>
    </row>
    <row r="59" spans="2:22" x14ac:dyDescent="0.5">
      <c r="B59" s="29"/>
      <c r="C59" s="116" t="s">
        <v>711</v>
      </c>
      <c r="D59" s="142"/>
      <c r="E59" s="116"/>
      <c r="F59" s="404">
        <f>CurRates!G56</f>
        <v>17.53</v>
      </c>
      <c r="G59" s="402"/>
      <c r="H59" s="29"/>
      <c r="I59" s="116" t="s">
        <v>711</v>
      </c>
      <c r="J59"/>
      <c r="K59" s="138"/>
      <c r="L59" s="404">
        <f>V59</f>
        <v>20.51</v>
      </c>
      <c r="M59" s="402"/>
      <c r="N59" s="138"/>
      <c r="O59" s="77">
        <f>L59-F59</f>
        <v>2.9800000000000004</v>
      </c>
      <c r="Q59" s="545">
        <f>ROUND(O59/F59,3)</f>
        <v>0.17</v>
      </c>
      <c r="S59" s="409">
        <f>F59</f>
        <v>17.53</v>
      </c>
      <c r="T59" s="409">
        <f>ROUND(S$7*S59,2)</f>
        <v>2.98</v>
      </c>
      <c r="U59" s="410">
        <v>0</v>
      </c>
      <c r="V59" s="409">
        <f>SUM(S59:U59)</f>
        <v>20.51</v>
      </c>
    </row>
    <row r="60" spans="2:22" x14ac:dyDescent="0.5">
      <c r="B60" s="29"/>
      <c r="C60" s="116" t="s">
        <v>712</v>
      </c>
      <c r="D60" s="142"/>
      <c r="E60" s="116"/>
      <c r="F60" s="404">
        <f>CurRates!G57</f>
        <v>26.2</v>
      </c>
      <c r="G60" s="402"/>
      <c r="H60" s="29"/>
      <c r="I60" s="116" t="s">
        <v>712</v>
      </c>
      <c r="J60"/>
      <c r="K60" s="138"/>
      <c r="L60" s="404">
        <f t="shared" ref="L60:L66" si="11">V60</f>
        <v>30.65</v>
      </c>
      <c r="M60" s="402"/>
      <c r="N60" s="138"/>
      <c r="O60" s="77">
        <f t="shared" ref="O60:O66" si="12">L60-F60</f>
        <v>4.4499999999999993</v>
      </c>
      <c r="Q60" s="545">
        <f t="shared" ref="Q60:Q66" si="13">ROUND(O60/F60,3)</f>
        <v>0.17</v>
      </c>
      <c r="S60" s="409">
        <f t="shared" ref="S60:S66" si="14">F60</f>
        <v>26.2</v>
      </c>
      <c r="T60" s="409">
        <f t="shared" ref="T60:T66" si="15">ROUND(S$7*S60,2)</f>
        <v>4.45</v>
      </c>
      <c r="U60" s="410">
        <v>0</v>
      </c>
      <c r="V60" s="409">
        <f t="shared" ref="V60:V66" si="16">SUM(S60:U60)</f>
        <v>30.65</v>
      </c>
    </row>
    <row r="61" spans="2:22" x14ac:dyDescent="0.5">
      <c r="B61" s="29"/>
      <c r="C61" s="116" t="s">
        <v>355</v>
      </c>
      <c r="D61" s="142"/>
      <c r="E61" s="116"/>
      <c r="F61" s="404">
        <f>CurRates!G58</f>
        <v>68.05</v>
      </c>
      <c r="G61" s="402"/>
      <c r="H61" s="29"/>
      <c r="I61" s="116" t="s">
        <v>355</v>
      </c>
      <c r="J61"/>
      <c r="K61" s="138"/>
      <c r="L61" s="404">
        <f t="shared" si="11"/>
        <v>79.62</v>
      </c>
      <c r="M61" s="402"/>
      <c r="N61" s="138"/>
      <c r="O61" s="77">
        <f t="shared" si="12"/>
        <v>11.570000000000007</v>
      </c>
      <c r="Q61" s="545">
        <f t="shared" si="13"/>
        <v>0.17</v>
      </c>
      <c r="S61" s="409">
        <f t="shared" si="14"/>
        <v>68.05</v>
      </c>
      <c r="T61" s="409">
        <f t="shared" si="15"/>
        <v>11.57</v>
      </c>
      <c r="U61" s="410">
        <v>0</v>
      </c>
      <c r="V61" s="409">
        <f t="shared" si="16"/>
        <v>79.62</v>
      </c>
    </row>
    <row r="62" spans="2:22" x14ac:dyDescent="0.5">
      <c r="B62" s="29"/>
      <c r="C62" s="116" t="s">
        <v>356</v>
      </c>
      <c r="D62" s="142"/>
      <c r="E62" s="116"/>
      <c r="F62" s="404">
        <f>CurRates!G59</f>
        <v>147.91999999999999</v>
      </c>
      <c r="G62" s="402"/>
      <c r="H62" s="29"/>
      <c r="I62" s="116" t="s">
        <v>356</v>
      </c>
      <c r="J62" s="273"/>
      <c r="K62" s="272"/>
      <c r="L62" s="404">
        <f t="shared" si="11"/>
        <v>173.07</v>
      </c>
      <c r="M62" s="402"/>
      <c r="N62" s="138"/>
      <c r="O62" s="77">
        <f t="shared" si="12"/>
        <v>25.150000000000006</v>
      </c>
      <c r="Q62" s="545">
        <f t="shared" si="13"/>
        <v>0.17</v>
      </c>
      <c r="S62" s="409">
        <f t="shared" si="14"/>
        <v>147.91999999999999</v>
      </c>
      <c r="T62" s="409">
        <f t="shared" si="15"/>
        <v>25.15</v>
      </c>
      <c r="U62" s="410">
        <v>0</v>
      </c>
      <c r="V62" s="409">
        <f t="shared" si="16"/>
        <v>173.07</v>
      </c>
    </row>
    <row r="63" spans="2:22" x14ac:dyDescent="0.5">
      <c r="B63" s="29"/>
      <c r="C63" t="s">
        <v>351</v>
      </c>
      <c r="D63" s="142"/>
      <c r="E63" s="116"/>
      <c r="F63" s="404">
        <f>CurRates!G60</f>
        <v>340.77</v>
      </c>
      <c r="G63" s="402"/>
      <c r="H63" s="29"/>
      <c r="I63" t="s">
        <v>351</v>
      </c>
      <c r="J63" s="142"/>
      <c r="K63" s="116"/>
      <c r="L63" s="404">
        <f t="shared" si="11"/>
        <v>398.7</v>
      </c>
      <c r="M63" s="402"/>
      <c r="N63" s="138"/>
      <c r="O63" s="77">
        <f t="shared" si="12"/>
        <v>57.930000000000007</v>
      </c>
      <c r="Q63" s="545">
        <f t="shared" si="13"/>
        <v>0.17</v>
      </c>
      <c r="S63" s="409">
        <f t="shared" si="14"/>
        <v>340.77</v>
      </c>
      <c r="T63" s="409">
        <f t="shared" si="15"/>
        <v>57.93</v>
      </c>
      <c r="U63" s="410">
        <v>0</v>
      </c>
      <c r="V63" s="409">
        <f t="shared" si="16"/>
        <v>398.7</v>
      </c>
    </row>
    <row r="64" spans="2:22" x14ac:dyDescent="0.5">
      <c r="B64" s="29"/>
      <c r="C64" s="116" t="s">
        <v>713</v>
      </c>
      <c r="D64" s="142"/>
      <c r="E64" s="116"/>
      <c r="F64" s="404">
        <f>CurRates!G61</f>
        <v>658.17</v>
      </c>
      <c r="G64" s="402"/>
      <c r="H64" s="29"/>
      <c r="I64" s="116" t="s">
        <v>713</v>
      </c>
      <c r="J64" s="142"/>
      <c r="K64" s="116"/>
      <c r="L64" s="404">
        <f t="shared" si="11"/>
        <v>770.06</v>
      </c>
      <c r="M64" s="402"/>
      <c r="N64" s="138"/>
      <c r="O64" s="77">
        <f t="shared" si="12"/>
        <v>111.88999999999999</v>
      </c>
      <c r="Q64" s="545">
        <f t="shared" si="13"/>
        <v>0.17</v>
      </c>
      <c r="S64" s="409">
        <f t="shared" si="14"/>
        <v>658.17</v>
      </c>
      <c r="T64" s="409">
        <f t="shared" si="15"/>
        <v>111.89</v>
      </c>
      <c r="U64" s="410">
        <v>0</v>
      </c>
      <c r="V64" s="409">
        <f t="shared" si="16"/>
        <v>770.06</v>
      </c>
    </row>
    <row r="65" spans="2:22" x14ac:dyDescent="0.5">
      <c r="B65" s="29"/>
      <c r="C65" s="116" t="s">
        <v>714</v>
      </c>
      <c r="D65" s="142"/>
      <c r="E65" s="116"/>
      <c r="F65" s="404">
        <f>CurRates!G62</f>
        <v>1139.7</v>
      </c>
      <c r="G65" s="402"/>
      <c r="H65" s="29"/>
      <c r="I65" s="116" t="s">
        <v>714</v>
      </c>
      <c r="J65" s="142"/>
      <c r="K65" s="116"/>
      <c r="L65" s="404">
        <f t="shared" si="11"/>
        <v>1333.45</v>
      </c>
      <c r="M65" s="402"/>
      <c r="N65" s="138"/>
      <c r="O65" s="77">
        <f t="shared" si="12"/>
        <v>193.75</v>
      </c>
      <c r="Q65" s="545">
        <f t="shared" si="13"/>
        <v>0.17</v>
      </c>
      <c r="S65" s="409">
        <f t="shared" si="14"/>
        <v>1139.7</v>
      </c>
      <c r="T65" s="409">
        <f t="shared" si="15"/>
        <v>193.75</v>
      </c>
      <c r="U65" s="410">
        <v>0</v>
      </c>
      <c r="V65" s="409">
        <f t="shared" si="16"/>
        <v>1333.45</v>
      </c>
    </row>
    <row r="66" spans="2:22" x14ac:dyDescent="0.5">
      <c r="B66" s="31"/>
      <c r="C66" s="116" t="s">
        <v>715</v>
      </c>
      <c r="F66" s="404">
        <f>CurRates!G63</f>
        <v>1799.31</v>
      </c>
      <c r="I66" s="116" t="s">
        <v>715</v>
      </c>
      <c r="L66" s="404">
        <f t="shared" si="11"/>
        <v>2105.19</v>
      </c>
      <c r="M66" s="402"/>
      <c r="N66" s="138"/>
      <c r="O66" s="77">
        <f t="shared" si="12"/>
        <v>305.88000000000011</v>
      </c>
      <c r="Q66" s="545">
        <f t="shared" si="13"/>
        <v>0.17</v>
      </c>
      <c r="S66" s="409">
        <f t="shared" si="14"/>
        <v>1799.31</v>
      </c>
      <c r="T66" s="409">
        <f t="shared" si="15"/>
        <v>305.88</v>
      </c>
      <c r="U66" s="410">
        <v>0</v>
      </c>
      <c r="V66" s="409">
        <f t="shared" si="16"/>
        <v>2105.19</v>
      </c>
    </row>
  </sheetData>
  <mergeCells count="5">
    <mergeCell ref="C3:M3"/>
    <mergeCell ref="C4:M4"/>
    <mergeCell ref="C5:M5"/>
    <mergeCell ref="C8:G8"/>
    <mergeCell ref="I8:M8"/>
  </mergeCells>
  <pageMargins left="0.7" right="0.7" top="0.75" bottom="0.75" header="0.3" footer="0.3"/>
  <ignoredErrors>
    <ignoredError sqref="T12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309A-30EA-47D2-ABEF-2FBF813372B4}">
  <dimension ref="B2:X66"/>
  <sheetViews>
    <sheetView topLeftCell="E43" workbookViewId="0">
      <selection activeCell="E66" sqref="E66:L66"/>
    </sheetView>
  </sheetViews>
  <sheetFormatPr defaultColWidth="10.77734375" defaultRowHeight="15.75" x14ac:dyDescent="0.5"/>
  <cols>
    <col min="1" max="1" width="10.77734375" style="14"/>
    <col min="2" max="2" width="1.77734375" style="14" customWidth="1"/>
    <col min="3" max="5" width="10.77734375" style="14"/>
    <col min="6" max="6" width="10.77734375" style="58"/>
    <col min="7" max="7" width="10.77734375" style="14"/>
    <col min="8" max="8" width="1.77734375" style="14" customWidth="1"/>
    <col min="9" max="11" width="10.77734375" style="14"/>
    <col min="12" max="12" width="10.77734375" style="58"/>
    <col min="13" max="13" width="10.77734375" style="14"/>
    <col min="14" max="14" width="1.77734375" style="14" customWidth="1"/>
    <col min="15" max="15" width="12.77734375" style="14" customWidth="1"/>
    <col min="16" max="16" width="1.77734375" style="14" customWidth="1"/>
    <col min="17" max="17" width="12.77734375" style="14" customWidth="1"/>
    <col min="18" max="18" width="1.77734375" style="14" customWidth="1"/>
    <col min="19" max="16384" width="10.77734375" style="14"/>
  </cols>
  <sheetData>
    <row r="2" spans="2:24" x14ac:dyDescent="0.5">
      <c r="B2" s="30"/>
      <c r="C2" s="203"/>
      <c r="D2" s="203"/>
      <c r="E2" s="203"/>
      <c r="F2" s="204"/>
      <c r="G2" s="203"/>
      <c r="H2" s="203"/>
      <c r="I2" s="203"/>
      <c r="J2" s="203"/>
      <c r="K2" s="203"/>
      <c r="L2" s="204"/>
      <c r="M2" s="205"/>
    </row>
    <row r="3" spans="2:24" ht="23.25" x14ac:dyDescent="0.7">
      <c r="B3" s="29"/>
      <c r="C3" s="664" t="s">
        <v>99</v>
      </c>
      <c r="D3" s="664"/>
      <c r="E3" s="664"/>
      <c r="F3" s="664"/>
      <c r="G3" s="664"/>
      <c r="H3" s="664"/>
      <c r="I3" s="664"/>
      <c r="J3" s="664"/>
      <c r="K3" s="664"/>
      <c r="L3" s="664"/>
      <c r="M3" s="665"/>
    </row>
    <row r="4" spans="2:24" ht="23.25" x14ac:dyDescent="0.7">
      <c r="B4" s="29"/>
      <c r="C4" s="664" t="s">
        <v>53</v>
      </c>
      <c r="D4" s="664"/>
      <c r="E4" s="664"/>
      <c r="F4" s="664"/>
      <c r="G4" s="664"/>
      <c r="H4" s="664"/>
      <c r="I4" s="664"/>
      <c r="J4" s="664"/>
      <c r="K4" s="664"/>
      <c r="L4" s="664"/>
      <c r="M4" s="665"/>
    </row>
    <row r="5" spans="2:24" ht="23.25" x14ac:dyDescent="0.5">
      <c r="B5" s="29"/>
      <c r="C5" s="666" t="str">
        <f>'BA Existing Rates'!B2</f>
        <v>Current Billing Analysis - 2022 Water Usage and Existing Rates</v>
      </c>
      <c r="D5" s="666"/>
      <c r="E5" s="666"/>
      <c r="F5" s="666"/>
      <c r="G5" s="666"/>
      <c r="H5" s="666"/>
      <c r="I5" s="666"/>
      <c r="J5" s="666"/>
      <c r="K5" s="666"/>
      <c r="L5" s="666"/>
      <c r="M5" s="667"/>
      <c r="N5" s="157"/>
      <c r="O5" s="157"/>
      <c r="P5" s="157"/>
      <c r="Q5" s="157"/>
      <c r="R5" s="157"/>
      <c r="S5" s="544">
        <v>0.5</v>
      </c>
      <c r="T5" s="14" t="s">
        <v>672</v>
      </c>
      <c r="U5" s="157"/>
    </row>
    <row r="6" spans="2:24" x14ac:dyDescent="0.5">
      <c r="B6" s="29"/>
      <c r="M6" s="206"/>
      <c r="S6" s="75">
        <f>'SAO - DSC'!L58</f>
        <v>0.3417</v>
      </c>
      <c r="T6" s="76" t="s">
        <v>113</v>
      </c>
    </row>
    <row r="7" spans="2:24" x14ac:dyDescent="0.5">
      <c r="B7" s="30"/>
      <c r="C7" s="203"/>
      <c r="D7" s="203"/>
      <c r="E7" s="203"/>
      <c r="F7" s="204"/>
      <c r="G7" s="205"/>
      <c r="H7" s="30"/>
      <c r="I7" s="203"/>
      <c r="J7" s="203"/>
      <c r="K7" s="203"/>
      <c r="L7" s="204"/>
      <c r="M7" s="205"/>
      <c r="S7" s="546">
        <f>ROUND(S5*S6,3)</f>
        <v>0.17100000000000001</v>
      </c>
      <c r="T7" s="14" t="s">
        <v>671</v>
      </c>
    </row>
    <row r="8" spans="2:24" x14ac:dyDescent="0.5">
      <c r="B8" s="29"/>
      <c r="C8" s="662" t="s">
        <v>673</v>
      </c>
      <c r="D8" s="662"/>
      <c r="E8" s="662"/>
      <c r="F8" s="662"/>
      <c r="G8" s="663"/>
      <c r="H8" s="29"/>
      <c r="I8" s="662" t="s">
        <v>112</v>
      </c>
      <c r="J8" s="662"/>
      <c r="K8" s="662"/>
      <c r="L8" s="662"/>
      <c r="M8" s="663"/>
    </row>
    <row r="9" spans="2:24" x14ac:dyDescent="0.5">
      <c r="B9" s="29"/>
      <c r="G9" s="206"/>
      <c r="H9" s="29"/>
      <c r="M9" s="206"/>
    </row>
    <row r="10" spans="2:24" x14ac:dyDescent="0.5">
      <c r="B10" s="29"/>
      <c r="C10" s="116" t="s">
        <v>333</v>
      </c>
      <c r="D10" s="142"/>
      <c r="E10" s="116"/>
      <c r="F10" s="403"/>
      <c r="G10" s="402"/>
      <c r="H10" s="29"/>
      <c r="I10" s="116" t="s">
        <v>333</v>
      </c>
      <c r="J10" s="142"/>
      <c r="K10" s="116"/>
      <c r="L10" s="403"/>
      <c r="M10" s="402"/>
    </row>
    <row r="11" spans="2:24" x14ac:dyDescent="0.5">
      <c r="B11" s="29"/>
      <c r="C11" s="116" t="s">
        <v>51</v>
      </c>
      <c r="D11" s="142">
        <v>2000</v>
      </c>
      <c r="E11" s="116" t="s">
        <v>188</v>
      </c>
      <c r="F11" s="404">
        <f>'Yr 1 Rate Comp'!L11</f>
        <v>23.83</v>
      </c>
      <c r="G11" s="402" t="s">
        <v>241</v>
      </c>
      <c r="H11" s="29"/>
      <c r="I11" s="116" t="s">
        <v>51</v>
      </c>
      <c r="J11" s="142">
        <v>2000</v>
      </c>
      <c r="K11" s="116" t="s">
        <v>188</v>
      </c>
      <c r="L11" s="404">
        <f>V11</f>
        <v>27.33</v>
      </c>
      <c r="M11" s="402" t="s">
        <v>241</v>
      </c>
      <c r="O11" s="77">
        <f>L11-F11</f>
        <v>3.5</v>
      </c>
      <c r="Q11" s="545">
        <f>ROUND(O11/F11,3)</f>
        <v>0.14699999999999999</v>
      </c>
      <c r="S11" s="409">
        <f>F11</f>
        <v>23.83</v>
      </c>
      <c r="T11" s="409">
        <f>X11-S11</f>
        <v>3.5</v>
      </c>
      <c r="U11" s="410">
        <v>0</v>
      </c>
      <c r="V11" s="409">
        <f>SUM(S11:U11)</f>
        <v>27.33</v>
      </c>
      <c r="X11" s="77">
        <f>'Rates Comp'!L11</f>
        <v>27.33</v>
      </c>
    </row>
    <row r="12" spans="2:24" x14ac:dyDescent="0.5">
      <c r="B12" s="29"/>
      <c r="C12" s="116" t="s">
        <v>52</v>
      </c>
      <c r="D12" s="142">
        <v>4000</v>
      </c>
      <c r="E12" s="116" t="s">
        <v>188</v>
      </c>
      <c r="F12" s="405">
        <f>'Yr 1 Rate Comp'!L12</f>
        <v>6.8900000000000003E-3</v>
      </c>
      <c r="G12" s="402" t="s">
        <v>240</v>
      </c>
      <c r="H12" s="29"/>
      <c r="I12" s="116" t="s">
        <v>52</v>
      </c>
      <c r="J12" s="142">
        <v>4000</v>
      </c>
      <c r="K12" s="116" t="s">
        <v>188</v>
      </c>
      <c r="L12" s="405">
        <f>V12</f>
        <v>7.9100000000000004E-3</v>
      </c>
      <c r="M12" s="402" t="s">
        <v>240</v>
      </c>
      <c r="O12" s="410">
        <f>L12-F12</f>
        <v>1.0200000000000001E-3</v>
      </c>
      <c r="Q12" s="545">
        <f>ROUND(O12/F12,3)</f>
        <v>0.14799999999999999</v>
      </c>
      <c r="S12" s="410">
        <f t="shared" ref="S12:S15" si="0">F12</f>
        <v>6.8900000000000003E-3</v>
      </c>
      <c r="T12" s="410">
        <f>X12-S12</f>
        <v>1.0200000000000001E-3</v>
      </c>
      <c r="U12" s="410">
        <v>0</v>
      </c>
      <c r="V12" s="410">
        <f>SUM(S12:U12)</f>
        <v>7.9100000000000004E-3</v>
      </c>
      <c r="X12" s="14">
        <f>'Rates Comp'!L12</f>
        <v>7.9100000000000004E-3</v>
      </c>
    </row>
    <row r="13" spans="2:24" x14ac:dyDescent="0.5">
      <c r="B13" s="29"/>
      <c r="C13" s="116" t="s">
        <v>52</v>
      </c>
      <c r="D13" s="142">
        <v>44000</v>
      </c>
      <c r="E13" s="116" t="s">
        <v>188</v>
      </c>
      <c r="F13" s="405">
        <f>'Yr 1 Rate Comp'!L13</f>
        <v>6.1200000000000004E-3</v>
      </c>
      <c r="G13" s="402" t="s">
        <v>240</v>
      </c>
      <c r="H13" s="29"/>
      <c r="I13" s="116" t="s">
        <v>52</v>
      </c>
      <c r="J13" s="142">
        <v>44000</v>
      </c>
      <c r="K13" s="116" t="s">
        <v>188</v>
      </c>
      <c r="L13" s="405">
        <f t="shared" ref="L13:L15" si="1">V13</f>
        <v>7.0200000000000002E-3</v>
      </c>
      <c r="M13" s="402" t="s">
        <v>240</v>
      </c>
      <c r="O13" s="410">
        <f t="shared" ref="O13:O15" si="2">L13-F13</f>
        <v>8.9999999999999976E-4</v>
      </c>
      <c r="Q13" s="545">
        <f t="shared" ref="Q13:Q15" si="3">ROUND(O13/F13,3)</f>
        <v>0.14699999999999999</v>
      </c>
      <c r="S13" s="410">
        <f t="shared" si="0"/>
        <v>6.1200000000000004E-3</v>
      </c>
      <c r="T13" s="410">
        <f t="shared" ref="T13:T15" si="4">X13-S13</f>
        <v>8.9999999999999976E-4</v>
      </c>
      <c r="U13" s="410">
        <v>0</v>
      </c>
      <c r="V13" s="410">
        <f t="shared" ref="V13:V15" si="5">SUM(S13:U13)</f>
        <v>7.0200000000000002E-3</v>
      </c>
      <c r="X13" s="14">
        <f>'Rates Comp'!L13</f>
        <v>7.0200000000000002E-3</v>
      </c>
    </row>
    <row r="14" spans="2:24" x14ac:dyDescent="0.5">
      <c r="B14" s="29"/>
      <c r="C14" s="116" t="s">
        <v>52</v>
      </c>
      <c r="D14" s="142">
        <v>50000</v>
      </c>
      <c r="E14" s="116" t="s">
        <v>188</v>
      </c>
      <c r="F14" s="405">
        <f>'Yr 1 Rate Comp'!L14</f>
        <v>5.2700000000000004E-3</v>
      </c>
      <c r="G14" s="402" t="s">
        <v>240</v>
      </c>
      <c r="H14" s="29"/>
      <c r="I14" s="116" t="s">
        <v>52</v>
      </c>
      <c r="J14" s="142">
        <v>50000</v>
      </c>
      <c r="K14" s="116" t="s">
        <v>188</v>
      </c>
      <c r="L14" s="405">
        <f t="shared" si="1"/>
        <v>6.0400000000000002E-3</v>
      </c>
      <c r="M14" s="402" t="s">
        <v>240</v>
      </c>
      <c r="O14" s="410">
        <f t="shared" si="2"/>
        <v>7.6999999999999985E-4</v>
      </c>
      <c r="Q14" s="545">
        <f t="shared" si="3"/>
        <v>0.14599999999999999</v>
      </c>
      <c r="S14" s="410">
        <f t="shared" si="0"/>
        <v>5.2700000000000004E-3</v>
      </c>
      <c r="T14" s="410">
        <f t="shared" si="4"/>
        <v>7.6999999999999985E-4</v>
      </c>
      <c r="U14" s="410">
        <v>0</v>
      </c>
      <c r="V14" s="410">
        <f t="shared" si="5"/>
        <v>6.0400000000000002E-3</v>
      </c>
      <c r="X14" s="14">
        <f>'Rates Comp'!L14</f>
        <v>6.0400000000000002E-3</v>
      </c>
    </row>
    <row r="15" spans="2:24" x14ac:dyDescent="0.5">
      <c r="B15" s="29"/>
      <c r="C15" s="116" t="s">
        <v>114</v>
      </c>
      <c r="D15" s="142">
        <f>SUM(D11:D14)</f>
        <v>100000</v>
      </c>
      <c r="E15" s="116" t="s">
        <v>188</v>
      </c>
      <c r="F15" s="405">
        <f>'Yr 1 Rate Comp'!L15</f>
        <v>4.3900000000000007E-3</v>
      </c>
      <c r="G15" s="402" t="s">
        <v>240</v>
      </c>
      <c r="H15" s="29"/>
      <c r="I15" s="116" t="s">
        <v>114</v>
      </c>
      <c r="J15" s="142">
        <f>SUM(J11:J14)</f>
        <v>100000</v>
      </c>
      <c r="K15" s="116" t="s">
        <v>188</v>
      </c>
      <c r="L15" s="405">
        <f t="shared" si="1"/>
        <v>5.0300000000000006E-3</v>
      </c>
      <c r="M15" s="402" t="s">
        <v>240</v>
      </c>
      <c r="O15" s="410">
        <f t="shared" si="2"/>
        <v>6.3999999999999994E-4</v>
      </c>
      <c r="Q15" s="545">
        <f t="shared" si="3"/>
        <v>0.14599999999999999</v>
      </c>
      <c r="S15" s="410">
        <f t="shared" si="0"/>
        <v>4.3900000000000007E-3</v>
      </c>
      <c r="T15" s="410">
        <f t="shared" si="4"/>
        <v>6.3999999999999994E-4</v>
      </c>
      <c r="U15" s="410">
        <v>0</v>
      </c>
      <c r="V15" s="410">
        <f t="shared" si="5"/>
        <v>5.0300000000000006E-3</v>
      </c>
      <c r="X15" s="14">
        <f>'Rates Comp'!L15</f>
        <v>5.0300000000000006E-3</v>
      </c>
    </row>
    <row r="16" spans="2:24" x14ac:dyDescent="0.5">
      <c r="B16" s="29"/>
      <c r="C16" s="116"/>
      <c r="D16" s="142"/>
      <c r="E16" s="116"/>
      <c r="F16" s="405"/>
      <c r="G16" s="402"/>
      <c r="H16" s="29"/>
      <c r="I16" s="116"/>
      <c r="J16" s="142"/>
      <c r="K16" s="116"/>
      <c r="L16" s="405"/>
      <c r="M16" s="402"/>
      <c r="U16" s="212">
        <f>ROUND(S8*J16,5)</f>
        <v>0</v>
      </c>
    </row>
    <row r="17" spans="2:24" x14ac:dyDescent="0.5">
      <c r="B17" s="29"/>
      <c r="C17" s="116" t="s">
        <v>334</v>
      </c>
      <c r="D17" s="142"/>
      <c r="E17" s="116"/>
      <c r="F17" s="116"/>
      <c r="G17" s="402"/>
      <c r="H17" s="29"/>
      <c r="I17" s="116" t="s">
        <v>334</v>
      </c>
      <c r="J17" s="142"/>
      <c r="K17" s="116"/>
      <c r="L17" s="116"/>
      <c r="M17" s="402"/>
    </row>
    <row r="18" spans="2:24" x14ac:dyDescent="0.5">
      <c r="B18" s="29"/>
      <c r="C18" s="116" t="s">
        <v>51</v>
      </c>
      <c r="D18" s="142">
        <v>5000</v>
      </c>
      <c r="E18" s="116" t="s">
        <v>188</v>
      </c>
      <c r="F18" s="404">
        <f>'Yr 1 Rate Comp'!L18</f>
        <v>45.25</v>
      </c>
      <c r="G18" s="402" t="s">
        <v>241</v>
      </c>
      <c r="H18" s="29"/>
      <c r="I18" s="116" t="s">
        <v>51</v>
      </c>
      <c r="J18" s="142">
        <v>5000</v>
      </c>
      <c r="K18" s="116" t="s">
        <v>188</v>
      </c>
      <c r="L18" s="404">
        <f>V18</f>
        <v>51.89</v>
      </c>
      <c r="M18" s="402" t="s">
        <v>241</v>
      </c>
      <c r="O18" s="77">
        <f>L18-F18</f>
        <v>6.6400000000000006</v>
      </c>
      <c r="Q18" s="545">
        <f>ROUND(O18/F18,3)</f>
        <v>0.14699999999999999</v>
      </c>
      <c r="S18" s="409">
        <f>F18</f>
        <v>45.25</v>
      </c>
      <c r="T18" s="409">
        <f>X18-S18</f>
        <v>6.6400000000000006</v>
      </c>
      <c r="U18" s="410">
        <v>0</v>
      </c>
      <c r="V18" s="409">
        <f>SUM(S18:U18)</f>
        <v>51.89</v>
      </c>
      <c r="X18" s="77">
        <f>'Rates Comp'!L18</f>
        <v>51.89</v>
      </c>
    </row>
    <row r="19" spans="2:24" x14ac:dyDescent="0.5">
      <c r="B19" s="29"/>
      <c r="C19" s="116" t="s">
        <v>52</v>
      </c>
      <c r="D19" s="142">
        <v>1000</v>
      </c>
      <c r="E19" s="116" t="s">
        <v>188</v>
      </c>
      <c r="F19" s="405">
        <f>F12</f>
        <v>6.8900000000000003E-3</v>
      </c>
      <c r="G19" s="402" t="s">
        <v>240</v>
      </c>
      <c r="H19" s="29"/>
      <c r="I19" s="116" t="s">
        <v>52</v>
      </c>
      <c r="J19" s="142">
        <v>1000</v>
      </c>
      <c r="K19" s="116" t="s">
        <v>188</v>
      </c>
      <c r="L19" s="405">
        <f>L12</f>
        <v>7.9100000000000004E-3</v>
      </c>
      <c r="M19" s="402" t="s">
        <v>240</v>
      </c>
      <c r="S19" s="410"/>
      <c r="T19" s="410"/>
      <c r="U19" s="410"/>
      <c r="V19" s="410"/>
      <c r="W19" s="210"/>
      <c r="X19" s="210"/>
    </row>
    <row r="20" spans="2:24" x14ac:dyDescent="0.5">
      <c r="B20" s="29"/>
      <c r="C20" s="116" t="s">
        <v>52</v>
      </c>
      <c r="D20" s="142">
        <v>44000</v>
      </c>
      <c r="E20" s="116" t="s">
        <v>188</v>
      </c>
      <c r="F20" s="405">
        <f t="shared" ref="F20:F22" si="6">F13</f>
        <v>6.1200000000000004E-3</v>
      </c>
      <c r="G20" s="402" t="s">
        <v>240</v>
      </c>
      <c r="H20" s="29"/>
      <c r="I20" s="116" t="s">
        <v>52</v>
      </c>
      <c r="J20" s="142">
        <v>44000</v>
      </c>
      <c r="K20" s="116" t="s">
        <v>188</v>
      </c>
      <c r="L20" s="405">
        <f t="shared" ref="L20:L22" si="7">L13</f>
        <v>7.0200000000000002E-3</v>
      </c>
      <c r="M20" s="402" t="s">
        <v>240</v>
      </c>
      <c r="S20" s="410"/>
      <c r="T20" s="410"/>
      <c r="U20" s="410"/>
      <c r="V20" s="410"/>
      <c r="W20" s="77"/>
      <c r="X20" s="211"/>
    </row>
    <row r="21" spans="2:24" x14ac:dyDescent="0.5">
      <c r="B21" s="29"/>
      <c r="C21" s="116" t="s">
        <v>52</v>
      </c>
      <c r="D21" s="142">
        <v>50000</v>
      </c>
      <c r="E21" s="116" t="s">
        <v>188</v>
      </c>
      <c r="F21" s="405">
        <f t="shared" si="6"/>
        <v>5.2700000000000004E-3</v>
      </c>
      <c r="G21" s="402" t="s">
        <v>240</v>
      </c>
      <c r="H21" s="29"/>
      <c r="I21" s="116" t="s">
        <v>52</v>
      </c>
      <c r="J21" s="142">
        <v>50000</v>
      </c>
      <c r="K21" s="116" t="s">
        <v>188</v>
      </c>
      <c r="L21" s="405">
        <f t="shared" si="7"/>
        <v>6.0400000000000002E-3</v>
      </c>
      <c r="M21" s="402" t="s">
        <v>240</v>
      </c>
      <c r="S21" s="410"/>
      <c r="T21" s="410"/>
      <c r="U21" s="410"/>
      <c r="V21" s="410"/>
      <c r="W21" s="78"/>
      <c r="X21" s="211"/>
    </row>
    <row r="22" spans="2:24" x14ac:dyDescent="0.5">
      <c r="B22" s="29"/>
      <c r="C22" s="116" t="s">
        <v>114</v>
      </c>
      <c r="D22" s="142">
        <f>SUM(D18:D21)</f>
        <v>100000</v>
      </c>
      <c r="E22" s="116" t="s">
        <v>188</v>
      </c>
      <c r="F22" s="405">
        <f t="shared" si="6"/>
        <v>4.3900000000000007E-3</v>
      </c>
      <c r="G22" s="402" t="s">
        <v>240</v>
      </c>
      <c r="H22" s="29"/>
      <c r="I22" s="116" t="s">
        <v>114</v>
      </c>
      <c r="J22" s="142">
        <f>SUM(J18:J21)</f>
        <v>100000</v>
      </c>
      <c r="K22" s="116" t="s">
        <v>188</v>
      </c>
      <c r="L22" s="405">
        <f t="shared" si="7"/>
        <v>5.0300000000000006E-3</v>
      </c>
      <c r="M22" s="402" t="s">
        <v>240</v>
      </c>
      <c r="S22" s="410"/>
      <c r="T22" s="410"/>
      <c r="U22" s="410"/>
      <c r="V22" s="410"/>
      <c r="W22" s="78"/>
      <c r="X22" s="211"/>
    </row>
    <row r="23" spans="2:24" x14ac:dyDescent="0.5">
      <c r="B23" s="29"/>
      <c r="C23" s="116"/>
      <c r="D23" s="142"/>
      <c r="E23" s="116"/>
      <c r="F23" s="405"/>
      <c r="G23" s="402"/>
      <c r="H23" s="29"/>
      <c r="I23" s="116"/>
      <c r="J23" s="142"/>
      <c r="K23" s="116"/>
      <c r="L23" s="405"/>
      <c r="M23" s="402"/>
      <c r="N23" s="79"/>
      <c r="O23" s="79"/>
      <c r="P23" s="79"/>
      <c r="Q23" s="79"/>
      <c r="R23" s="79"/>
      <c r="S23" s="79"/>
      <c r="T23" s="79"/>
      <c r="V23" s="78"/>
      <c r="W23" s="78"/>
      <c r="X23" s="211"/>
    </row>
    <row r="24" spans="2:24" x14ac:dyDescent="0.5">
      <c r="B24" s="29"/>
      <c r="C24" s="116" t="s">
        <v>335</v>
      </c>
      <c r="D24" s="142"/>
      <c r="E24" s="116"/>
      <c r="F24" s="405"/>
      <c r="G24" s="402"/>
      <c r="H24" s="29"/>
      <c r="I24" s="116" t="s">
        <v>335</v>
      </c>
      <c r="J24" s="142"/>
      <c r="K24" s="116"/>
      <c r="L24" s="405"/>
      <c r="M24" s="402"/>
    </row>
    <row r="25" spans="2:24" x14ac:dyDescent="0.5">
      <c r="B25" s="29"/>
      <c r="C25" s="116" t="s">
        <v>51</v>
      </c>
      <c r="D25" s="142">
        <v>10000</v>
      </c>
      <c r="E25" s="116" t="s">
        <v>188</v>
      </c>
      <c r="F25" s="404">
        <f>'Yr 1 Rate Comp'!L25</f>
        <v>80.849999999999994</v>
      </c>
      <c r="G25" s="402" t="s">
        <v>241</v>
      </c>
      <c r="H25" s="29"/>
      <c r="I25" s="116" t="s">
        <v>51</v>
      </c>
      <c r="J25" s="142">
        <v>10000</v>
      </c>
      <c r="K25" s="116" t="s">
        <v>188</v>
      </c>
      <c r="L25" s="404">
        <f>V25</f>
        <v>92.71</v>
      </c>
      <c r="M25" s="402" t="s">
        <v>241</v>
      </c>
      <c r="O25" s="77">
        <f>L25-F25</f>
        <v>11.86</v>
      </c>
      <c r="Q25" s="545">
        <f>ROUND(O25/F25,3)</f>
        <v>0.14699999999999999</v>
      </c>
      <c r="S25" s="409">
        <f>F25</f>
        <v>80.849999999999994</v>
      </c>
      <c r="T25" s="409">
        <f>X25-S25</f>
        <v>11.86</v>
      </c>
      <c r="U25" s="410">
        <v>0</v>
      </c>
      <c r="V25" s="409">
        <f>SUM(S25:U25)</f>
        <v>92.71</v>
      </c>
      <c r="X25" s="77">
        <f>'Rates Comp'!L25</f>
        <v>92.71</v>
      </c>
    </row>
    <row r="26" spans="2:24" x14ac:dyDescent="0.5">
      <c r="B26" s="29"/>
      <c r="C26" s="116" t="s">
        <v>52</v>
      </c>
      <c r="D26" s="142">
        <v>40000</v>
      </c>
      <c r="E26" s="116" t="s">
        <v>188</v>
      </c>
      <c r="F26" s="405">
        <f>F20</f>
        <v>6.1200000000000004E-3</v>
      </c>
      <c r="G26" s="402" t="s">
        <v>240</v>
      </c>
      <c r="H26" s="29"/>
      <c r="I26" s="116" t="s">
        <v>52</v>
      </c>
      <c r="J26" s="142">
        <v>40000</v>
      </c>
      <c r="K26" s="116" t="s">
        <v>188</v>
      </c>
      <c r="L26" s="405">
        <f>L20</f>
        <v>7.0200000000000002E-3</v>
      </c>
      <c r="M26" s="402" t="s">
        <v>240</v>
      </c>
      <c r="S26" s="410"/>
      <c r="T26" s="410"/>
      <c r="U26" s="410"/>
      <c r="V26" s="410"/>
    </row>
    <row r="27" spans="2:24" x14ac:dyDescent="0.5">
      <c r="B27" s="29"/>
      <c r="C27" s="116" t="s">
        <v>52</v>
      </c>
      <c r="D27" s="142">
        <v>50000</v>
      </c>
      <c r="E27" s="116" t="s">
        <v>188</v>
      </c>
      <c r="F27" s="405">
        <f t="shared" ref="F27:F28" si="8">F21</f>
        <v>5.2700000000000004E-3</v>
      </c>
      <c r="G27" s="402" t="s">
        <v>240</v>
      </c>
      <c r="H27" s="29"/>
      <c r="I27" s="116" t="s">
        <v>52</v>
      </c>
      <c r="J27" s="142">
        <v>50000</v>
      </c>
      <c r="K27" s="116" t="s">
        <v>188</v>
      </c>
      <c r="L27" s="405">
        <f t="shared" ref="L27:L28" si="9">L21</f>
        <v>6.0400000000000002E-3</v>
      </c>
      <c r="M27" s="402" t="s">
        <v>240</v>
      </c>
      <c r="S27" s="410"/>
      <c r="T27" s="410"/>
      <c r="U27" s="410"/>
      <c r="V27" s="410"/>
    </row>
    <row r="28" spans="2:24" x14ac:dyDescent="0.5">
      <c r="B28" s="29"/>
      <c r="C28" s="116" t="s">
        <v>114</v>
      </c>
      <c r="D28" s="142">
        <f>SUM(D24:D27)</f>
        <v>100000</v>
      </c>
      <c r="E28" s="116" t="s">
        <v>188</v>
      </c>
      <c r="F28" s="405">
        <f t="shared" si="8"/>
        <v>4.3900000000000007E-3</v>
      </c>
      <c r="G28" s="402" t="s">
        <v>240</v>
      </c>
      <c r="H28" s="29"/>
      <c r="I28" s="116" t="s">
        <v>114</v>
      </c>
      <c r="J28" s="142">
        <f>SUM(J24:J27)</f>
        <v>100000</v>
      </c>
      <c r="K28" s="116" t="s">
        <v>188</v>
      </c>
      <c r="L28" s="405">
        <f t="shared" si="9"/>
        <v>5.0300000000000006E-3</v>
      </c>
      <c r="M28" s="402" t="s">
        <v>240</v>
      </c>
      <c r="S28" s="410"/>
      <c r="T28" s="410"/>
      <c r="U28" s="410"/>
      <c r="V28" s="410"/>
    </row>
    <row r="29" spans="2:24" x14ac:dyDescent="0.5">
      <c r="B29" s="29"/>
      <c r="C29" s="116"/>
      <c r="D29" s="142"/>
      <c r="E29" s="116"/>
      <c r="F29" s="405"/>
      <c r="G29" s="402"/>
      <c r="H29" s="29"/>
      <c r="I29" s="116"/>
      <c r="J29" s="142"/>
      <c r="K29" s="116"/>
      <c r="L29" s="405"/>
      <c r="M29" s="402"/>
      <c r="S29" s="410"/>
      <c r="T29" s="410"/>
      <c r="U29" s="410"/>
      <c r="V29" s="410"/>
    </row>
    <row r="30" spans="2:24" x14ac:dyDescent="0.5">
      <c r="B30" s="29"/>
      <c r="C30" s="116" t="s">
        <v>336</v>
      </c>
      <c r="D30" s="142"/>
      <c r="E30" s="116"/>
      <c r="F30" s="116"/>
      <c r="G30" s="402"/>
      <c r="H30" s="29"/>
      <c r="I30" s="116" t="s">
        <v>336</v>
      </c>
      <c r="J30" s="142"/>
      <c r="K30" s="116"/>
      <c r="L30" s="116"/>
      <c r="M30" s="402"/>
      <c r="S30" s="410"/>
      <c r="T30" s="410"/>
      <c r="U30" s="410"/>
      <c r="V30" s="410"/>
    </row>
    <row r="31" spans="2:24" x14ac:dyDescent="0.5">
      <c r="B31" s="29"/>
      <c r="C31" s="116" t="s">
        <v>51</v>
      </c>
      <c r="D31" s="142">
        <v>16000</v>
      </c>
      <c r="E31" s="116" t="s">
        <v>188</v>
      </c>
      <c r="F31" s="404">
        <f>'Yr 1 Rate Comp'!L31</f>
        <v>118.66999999999999</v>
      </c>
      <c r="G31" s="402" t="s">
        <v>241</v>
      </c>
      <c r="H31" s="29"/>
      <c r="I31" s="116" t="s">
        <v>51</v>
      </c>
      <c r="J31" s="142">
        <v>16000</v>
      </c>
      <c r="K31" s="116" t="s">
        <v>188</v>
      </c>
      <c r="L31" s="404">
        <f>V31</f>
        <v>136.09</v>
      </c>
      <c r="M31" s="402" t="s">
        <v>241</v>
      </c>
      <c r="O31" s="77">
        <f>L31-F31</f>
        <v>17.420000000000016</v>
      </c>
      <c r="Q31" s="545">
        <f>ROUND(O31/F31,3)</f>
        <v>0.14699999999999999</v>
      </c>
      <c r="S31" s="409">
        <f>F31</f>
        <v>118.66999999999999</v>
      </c>
      <c r="T31" s="409">
        <f>X31-S31</f>
        <v>17.420000000000016</v>
      </c>
      <c r="U31" s="410">
        <v>0</v>
      </c>
      <c r="V31" s="409">
        <f>SUM(S31:U31)</f>
        <v>136.09</v>
      </c>
      <c r="X31" s="77">
        <f>'Rates Comp'!L31</f>
        <v>136.09</v>
      </c>
    </row>
    <row r="32" spans="2:24" x14ac:dyDescent="0.5">
      <c r="B32" s="29"/>
      <c r="C32" s="116" t="s">
        <v>52</v>
      </c>
      <c r="D32" s="142">
        <v>34000</v>
      </c>
      <c r="E32" s="116" t="s">
        <v>188</v>
      </c>
      <c r="F32" s="405">
        <f>F26</f>
        <v>6.1200000000000004E-3</v>
      </c>
      <c r="G32" s="402" t="s">
        <v>240</v>
      </c>
      <c r="H32" s="29"/>
      <c r="I32" s="116" t="s">
        <v>52</v>
      </c>
      <c r="J32" s="142">
        <v>34000</v>
      </c>
      <c r="K32" s="116" t="s">
        <v>188</v>
      </c>
      <c r="L32" s="405">
        <f>L26</f>
        <v>7.0200000000000002E-3</v>
      </c>
      <c r="M32" s="402" t="s">
        <v>240</v>
      </c>
      <c r="S32" s="410"/>
      <c r="T32" s="410"/>
      <c r="U32" s="410"/>
      <c r="V32" s="410"/>
    </row>
    <row r="33" spans="2:24" x14ac:dyDescent="0.5">
      <c r="B33" s="29"/>
      <c r="C33" s="116" t="s">
        <v>52</v>
      </c>
      <c r="D33" s="142">
        <v>50000</v>
      </c>
      <c r="E33" s="116" t="s">
        <v>188</v>
      </c>
      <c r="F33" s="405">
        <f t="shared" ref="F33:F34" si="10">F27</f>
        <v>5.2700000000000004E-3</v>
      </c>
      <c r="G33" s="402" t="s">
        <v>240</v>
      </c>
      <c r="H33" s="29"/>
      <c r="I33" s="116" t="s">
        <v>52</v>
      </c>
      <c r="J33" s="142">
        <v>50000</v>
      </c>
      <c r="K33" s="116" t="s">
        <v>188</v>
      </c>
      <c r="L33" s="405">
        <f t="shared" ref="L33:L34" si="11">L27</f>
        <v>6.0400000000000002E-3</v>
      </c>
      <c r="M33" s="402" t="s">
        <v>240</v>
      </c>
      <c r="S33" s="410"/>
      <c r="T33" s="410"/>
      <c r="U33" s="410"/>
      <c r="V33" s="410"/>
    </row>
    <row r="34" spans="2:24" x14ac:dyDescent="0.5">
      <c r="B34" s="29"/>
      <c r="C34" s="116" t="s">
        <v>114</v>
      </c>
      <c r="D34" s="142">
        <f>SUM(D30:D33)</f>
        <v>100000</v>
      </c>
      <c r="E34" s="116" t="s">
        <v>188</v>
      </c>
      <c r="F34" s="405">
        <f t="shared" si="10"/>
        <v>4.3900000000000007E-3</v>
      </c>
      <c r="G34" s="402" t="s">
        <v>240</v>
      </c>
      <c r="H34" s="29"/>
      <c r="I34" s="116" t="s">
        <v>114</v>
      </c>
      <c r="J34" s="142">
        <f>SUM(J30:J33)</f>
        <v>100000</v>
      </c>
      <c r="K34" s="116" t="s">
        <v>188</v>
      </c>
      <c r="L34" s="405">
        <f t="shared" si="11"/>
        <v>5.0300000000000006E-3</v>
      </c>
      <c r="M34" s="402" t="s">
        <v>240</v>
      </c>
      <c r="S34" s="410"/>
      <c r="T34" s="410"/>
      <c r="U34" s="410"/>
      <c r="V34" s="410"/>
    </row>
    <row r="35" spans="2:24" x14ac:dyDescent="0.5">
      <c r="B35" s="29"/>
      <c r="C35" s="116"/>
      <c r="D35" s="142"/>
      <c r="E35" s="116"/>
      <c r="F35" s="405"/>
      <c r="G35" s="402"/>
      <c r="H35" s="29"/>
      <c r="I35" s="116"/>
      <c r="J35" s="142"/>
      <c r="K35" s="116"/>
      <c r="L35" s="405"/>
      <c r="M35" s="402"/>
    </row>
    <row r="36" spans="2:24" x14ac:dyDescent="0.5">
      <c r="B36" s="29"/>
      <c r="C36" s="116" t="s">
        <v>337</v>
      </c>
      <c r="D36" s="142"/>
      <c r="E36" s="116"/>
      <c r="F36" s="116"/>
      <c r="G36" s="402"/>
      <c r="H36" s="29"/>
      <c r="I36" s="116" t="s">
        <v>337</v>
      </c>
      <c r="J36" s="142"/>
      <c r="K36" s="116"/>
      <c r="L36" s="116"/>
      <c r="M36" s="402"/>
    </row>
    <row r="37" spans="2:24" x14ac:dyDescent="0.5">
      <c r="B37" s="29"/>
      <c r="C37" s="116" t="s">
        <v>51</v>
      </c>
      <c r="D37" s="142">
        <v>25000</v>
      </c>
      <c r="E37" s="116" t="s">
        <v>188</v>
      </c>
      <c r="F37" s="404">
        <f>'Yr 1 Rate Comp'!L37</f>
        <v>192.65</v>
      </c>
      <c r="G37" s="402" t="s">
        <v>241</v>
      </c>
      <c r="H37" s="29"/>
      <c r="I37" s="116" t="s">
        <v>51</v>
      </c>
      <c r="J37" s="142">
        <v>25000</v>
      </c>
      <c r="K37" s="116" t="s">
        <v>188</v>
      </c>
      <c r="L37" s="404">
        <f>V37</f>
        <v>220.93</v>
      </c>
      <c r="M37" s="402" t="s">
        <v>241</v>
      </c>
      <c r="O37" s="77">
        <f>L37-F37</f>
        <v>28.28</v>
      </c>
      <c r="Q37" s="545">
        <f>ROUND(O37/F37,3)</f>
        <v>0.14699999999999999</v>
      </c>
      <c r="S37" s="409">
        <f>F37</f>
        <v>192.65</v>
      </c>
      <c r="T37" s="409">
        <f>X37-S37</f>
        <v>28.28</v>
      </c>
      <c r="U37" s="410">
        <v>0</v>
      </c>
      <c r="V37" s="409">
        <f>SUM(S37:U37)</f>
        <v>220.93</v>
      </c>
      <c r="X37" s="77">
        <f>'Rates Comp'!L37</f>
        <v>220.93</v>
      </c>
    </row>
    <row r="38" spans="2:24" x14ac:dyDescent="0.5">
      <c r="B38" s="29"/>
      <c r="C38" s="116" t="s">
        <v>52</v>
      </c>
      <c r="D38" s="142">
        <v>25000</v>
      </c>
      <c r="E38" s="116" t="s">
        <v>188</v>
      </c>
      <c r="F38" s="405">
        <f>F32</f>
        <v>6.1200000000000004E-3</v>
      </c>
      <c r="G38" s="402" t="s">
        <v>240</v>
      </c>
      <c r="H38" s="29"/>
      <c r="I38" s="116" t="s">
        <v>52</v>
      </c>
      <c r="J38" s="142">
        <v>25000</v>
      </c>
      <c r="K38" s="116" t="s">
        <v>188</v>
      </c>
      <c r="L38" s="405">
        <f>L32</f>
        <v>7.0200000000000002E-3</v>
      </c>
      <c r="M38" s="402" t="s">
        <v>240</v>
      </c>
      <c r="S38" s="410"/>
      <c r="T38" s="410"/>
      <c r="U38" s="410"/>
      <c r="V38" s="410"/>
    </row>
    <row r="39" spans="2:24" x14ac:dyDescent="0.5">
      <c r="B39" s="29"/>
      <c r="C39" s="116" t="s">
        <v>52</v>
      </c>
      <c r="D39" s="142">
        <v>50000</v>
      </c>
      <c r="E39" s="116" t="s">
        <v>188</v>
      </c>
      <c r="F39" s="405">
        <f t="shared" ref="F39:F40" si="12">F33</f>
        <v>5.2700000000000004E-3</v>
      </c>
      <c r="G39" s="402" t="s">
        <v>240</v>
      </c>
      <c r="H39" s="29"/>
      <c r="I39" s="116" t="s">
        <v>52</v>
      </c>
      <c r="J39" s="142">
        <v>50000</v>
      </c>
      <c r="K39" s="116" t="s">
        <v>188</v>
      </c>
      <c r="L39" s="405">
        <f t="shared" ref="L39:L40" si="13">L33</f>
        <v>6.0400000000000002E-3</v>
      </c>
      <c r="M39" s="402" t="s">
        <v>240</v>
      </c>
      <c r="S39" s="410"/>
      <c r="T39" s="410"/>
      <c r="U39" s="410"/>
      <c r="V39" s="410"/>
    </row>
    <row r="40" spans="2:24" x14ac:dyDescent="0.5">
      <c r="B40" s="29"/>
      <c r="C40" s="116" t="s">
        <v>114</v>
      </c>
      <c r="D40" s="142">
        <f>SUM(D36:D39)</f>
        <v>100000</v>
      </c>
      <c r="E40" s="116" t="s">
        <v>188</v>
      </c>
      <c r="F40" s="405">
        <f t="shared" si="12"/>
        <v>4.3900000000000007E-3</v>
      </c>
      <c r="G40" s="402" t="s">
        <v>240</v>
      </c>
      <c r="H40" s="29"/>
      <c r="I40" s="116" t="s">
        <v>114</v>
      </c>
      <c r="J40" s="142">
        <f>SUM(J36:J39)</f>
        <v>100000</v>
      </c>
      <c r="K40" s="116" t="s">
        <v>188</v>
      </c>
      <c r="L40" s="405">
        <f t="shared" si="13"/>
        <v>5.0300000000000006E-3</v>
      </c>
      <c r="M40" s="402" t="s">
        <v>240</v>
      </c>
      <c r="S40" s="410"/>
      <c r="T40" s="410"/>
      <c r="U40" s="410"/>
      <c r="V40" s="410"/>
    </row>
    <row r="41" spans="2:24" x14ac:dyDescent="0.5">
      <c r="B41" s="29"/>
      <c r="C41" s="116"/>
      <c r="D41" s="142"/>
      <c r="E41" s="116"/>
      <c r="F41" s="405"/>
      <c r="G41" s="402"/>
      <c r="H41" s="29"/>
      <c r="I41" s="116"/>
      <c r="J41" s="142"/>
      <c r="K41" s="116"/>
      <c r="L41" s="405"/>
      <c r="M41" s="402"/>
    </row>
    <row r="42" spans="2:24" x14ac:dyDescent="0.5">
      <c r="B42" s="29"/>
      <c r="C42" s="116" t="s">
        <v>338</v>
      </c>
      <c r="D42" s="142"/>
      <c r="E42" s="116"/>
      <c r="F42" s="116"/>
      <c r="G42" s="402"/>
      <c r="H42" s="29"/>
      <c r="I42" s="116" t="s">
        <v>338</v>
      </c>
      <c r="J42" s="142"/>
      <c r="K42" s="116"/>
      <c r="L42" s="116"/>
      <c r="M42" s="402"/>
    </row>
    <row r="43" spans="2:24" x14ac:dyDescent="0.5">
      <c r="B43" s="29"/>
      <c r="C43" s="116" t="s">
        <v>51</v>
      </c>
      <c r="D43" s="142">
        <v>30000</v>
      </c>
      <c r="E43" s="116" t="s">
        <v>188</v>
      </c>
      <c r="F43" s="404">
        <f>'Yr 1 Rate Comp'!L43</f>
        <v>266.53000000000003</v>
      </c>
      <c r="G43" s="402" t="s">
        <v>241</v>
      </c>
      <c r="H43" s="29"/>
      <c r="I43" s="116" t="s">
        <v>51</v>
      </c>
      <c r="J43" s="142">
        <v>30000</v>
      </c>
      <c r="K43" s="116" t="s">
        <v>188</v>
      </c>
      <c r="L43" s="404">
        <f>V43</f>
        <v>305.64</v>
      </c>
      <c r="M43" s="402" t="s">
        <v>241</v>
      </c>
      <c r="O43" s="77">
        <f>L43-F43</f>
        <v>39.109999999999957</v>
      </c>
      <c r="Q43" s="545">
        <f>ROUND(O43/F43,3)</f>
        <v>0.14699999999999999</v>
      </c>
      <c r="S43" s="409">
        <f>F43</f>
        <v>266.53000000000003</v>
      </c>
      <c r="T43" s="409">
        <f>X43-S43</f>
        <v>39.109999999999957</v>
      </c>
      <c r="U43" s="410">
        <v>0</v>
      </c>
      <c r="V43" s="409">
        <f>SUM(S43:U43)</f>
        <v>305.64</v>
      </c>
      <c r="X43" s="77">
        <f>'Rates Comp'!L43</f>
        <v>305.64</v>
      </c>
    </row>
    <row r="44" spans="2:24" x14ac:dyDescent="0.5">
      <c r="B44" s="29"/>
      <c r="C44" s="116" t="s">
        <v>52</v>
      </c>
      <c r="D44" s="142">
        <v>20000</v>
      </c>
      <c r="E44" s="116" t="s">
        <v>188</v>
      </c>
      <c r="F44" s="405">
        <f>F38</f>
        <v>6.1200000000000004E-3</v>
      </c>
      <c r="G44" s="402" t="s">
        <v>240</v>
      </c>
      <c r="H44" s="29"/>
      <c r="I44" s="116" t="s">
        <v>52</v>
      </c>
      <c r="J44" s="142">
        <v>20000</v>
      </c>
      <c r="K44" s="116" t="s">
        <v>188</v>
      </c>
      <c r="L44" s="405">
        <f>L38</f>
        <v>7.0200000000000002E-3</v>
      </c>
      <c r="M44" s="402" t="s">
        <v>240</v>
      </c>
      <c r="S44" s="410"/>
      <c r="T44" s="410"/>
      <c r="U44" s="410"/>
      <c r="V44" s="410"/>
    </row>
    <row r="45" spans="2:24" x14ac:dyDescent="0.5">
      <c r="B45" s="29"/>
      <c r="C45" s="116" t="s">
        <v>52</v>
      </c>
      <c r="D45" s="142">
        <v>50000</v>
      </c>
      <c r="E45" s="116" t="s">
        <v>188</v>
      </c>
      <c r="F45" s="405">
        <f t="shared" ref="F45:F46" si="14">F39</f>
        <v>5.2700000000000004E-3</v>
      </c>
      <c r="G45" s="402" t="s">
        <v>240</v>
      </c>
      <c r="H45" s="29"/>
      <c r="I45" s="116" t="s">
        <v>52</v>
      </c>
      <c r="J45" s="142">
        <v>50000</v>
      </c>
      <c r="K45" s="116" t="s">
        <v>188</v>
      </c>
      <c r="L45" s="405">
        <f t="shared" ref="L45:L46" si="15">L39</f>
        <v>6.0400000000000002E-3</v>
      </c>
      <c r="M45" s="402" t="s">
        <v>240</v>
      </c>
      <c r="S45" s="410"/>
      <c r="T45" s="410"/>
      <c r="U45" s="410"/>
      <c r="V45" s="410"/>
    </row>
    <row r="46" spans="2:24" x14ac:dyDescent="0.5">
      <c r="B46" s="29"/>
      <c r="C46" s="116" t="s">
        <v>114</v>
      </c>
      <c r="D46" s="142">
        <f>SUM(D42:D45)</f>
        <v>100000</v>
      </c>
      <c r="E46" s="116" t="s">
        <v>188</v>
      </c>
      <c r="F46" s="405">
        <f t="shared" si="14"/>
        <v>4.3900000000000007E-3</v>
      </c>
      <c r="G46" s="402" t="s">
        <v>240</v>
      </c>
      <c r="H46" s="29"/>
      <c r="I46" s="116" t="s">
        <v>114</v>
      </c>
      <c r="J46" s="142">
        <f>SUM(J42:J45)</f>
        <v>100000</v>
      </c>
      <c r="K46" s="116" t="s">
        <v>188</v>
      </c>
      <c r="L46" s="405">
        <f t="shared" si="15"/>
        <v>5.0300000000000006E-3</v>
      </c>
      <c r="M46" s="402" t="s">
        <v>240</v>
      </c>
      <c r="S46" s="410"/>
      <c r="T46" s="410"/>
      <c r="U46" s="410"/>
      <c r="V46" s="410"/>
    </row>
    <row r="47" spans="2:24" x14ac:dyDescent="0.5">
      <c r="B47" s="29"/>
      <c r="C47" s="116"/>
      <c r="D47" s="142"/>
      <c r="E47" s="116"/>
      <c r="F47" s="405"/>
      <c r="G47" s="402"/>
      <c r="H47" s="29"/>
      <c r="I47" s="116"/>
      <c r="J47" s="142"/>
      <c r="K47" s="116"/>
      <c r="L47" s="405"/>
      <c r="M47" s="402"/>
    </row>
    <row r="48" spans="2:24" x14ac:dyDescent="0.5">
      <c r="B48" s="29"/>
      <c r="C48" s="116" t="s">
        <v>339</v>
      </c>
      <c r="D48" s="142"/>
      <c r="E48" s="116"/>
      <c r="F48" s="116"/>
      <c r="G48" s="402"/>
      <c r="H48" s="29"/>
      <c r="I48" s="116" t="s">
        <v>339</v>
      </c>
      <c r="J48" s="142"/>
      <c r="K48" s="116"/>
      <c r="L48" s="116"/>
      <c r="M48" s="402"/>
    </row>
    <row r="49" spans="2:24" x14ac:dyDescent="0.5">
      <c r="B49" s="29"/>
      <c r="C49" s="116" t="s">
        <v>51</v>
      </c>
      <c r="D49" s="142">
        <v>60000</v>
      </c>
      <c r="E49" s="116" t="s">
        <v>188</v>
      </c>
      <c r="F49" s="404">
        <f>'Yr 1 Rate Comp'!L49</f>
        <v>465.54</v>
      </c>
      <c r="G49" s="402" t="s">
        <v>241</v>
      </c>
      <c r="H49" s="29"/>
      <c r="I49" s="116" t="s">
        <v>51</v>
      </c>
      <c r="J49" s="142">
        <v>60000</v>
      </c>
      <c r="K49" s="116" t="s">
        <v>188</v>
      </c>
      <c r="L49" s="404">
        <f>V49</f>
        <v>533.87</v>
      </c>
      <c r="M49" s="402" t="s">
        <v>241</v>
      </c>
      <c r="O49" s="77">
        <f>L49-F49</f>
        <v>68.329999999999984</v>
      </c>
      <c r="Q49" s="545">
        <f>ROUND(O49/F49,3)</f>
        <v>0.14699999999999999</v>
      </c>
      <c r="S49" s="409">
        <f>F49</f>
        <v>465.54</v>
      </c>
      <c r="T49" s="409">
        <f>X49-S49</f>
        <v>68.329999999999984</v>
      </c>
      <c r="U49" s="410">
        <v>0</v>
      </c>
      <c r="V49" s="409">
        <f>SUM(S49:U49)</f>
        <v>533.87</v>
      </c>
      <c r="X49" s="77">
        <f>'Rates Comp'!L49</f>
        <v>533.87</v>
      </c>
    </row>
    <row r="50" spans="2:24" x14ac:dyDescent="0.5">
      <c r="B50" s="29"/>
      <c r="C50" s="116" t="s">
        <v>52</v>
      </c>
      <c r="D50" s="142">
        <v>40000</v>
      </c>
      <c r="E50" s="116" t="s">
        <v>188</v>
      </c>
      <c r="F50" s="405">
        <f>F45</f>
        <v>5.2700000000000004E-3</v>
      </c>
      <c r="G50" s="402" t="s">
        <v>240</v>
      </c>
      <c r="H50" s="29"/>
      <c r="I50" s="116" t="s">
        <v>52</v>
      </c>
      <c r="J50" s="142">
        <v>40000</v>
      </c>
      <c r="K50" s="116" t="s">
        <v>188</v>
      </c>
      <c r="L50" s="405">
        <f>L45</f>
        <v>6.0400000000000002E-3</v>
      </c>
      <c r="M50" s="402" t="s">
        <v>240</v>
      </c>
      <c r="S50" s="410"/>
      <c r="T50" s="410"/>
      <c r="U50" s="410"/>
      <c r="V50" s="410"/>
    </row>
    <row r="51" spans="2:24" x14ac:dyDescent="0.5">
      <c r="B51" s="29"/>
      <c r="C51" s="116" t="s">
        <v>114</v>
      </c>
      <c r="D51" s="142">
        <f>SUM(D48:D50)</f>
        <v>100000</v>
      </c>
      <c r="E51" s="116" t="s">
        <v>188</v>
      </c>
      <c r="F51" s="405">
        <f>F46</f>
        <v>4.3900000000000007E-3</v>
      </c>
      <c r="G51" s="402" t="s">
        <v>240</v>
      </c>
      <c r="H51" s="29"/>
      <c r="I51" s="116" t="s">
        <v>114</v>
      </c>
      <c r="J51" s="142">
        <f>SUM(J48:J50)</f>
        <v>100000</v>
      </c>
      <c r="K51" s="116" t="s">
        <v>188</v>
      </c>
      <c r="L51" s="405">
        <f>L46</f>
        <v>5.0300000000000006E-3</v>
      </c>
      <c r="M51" s="402" t="s">
        <v>240</v>
      </c>
      <c r="S51" s="410"/>
      <c r="T51" s="410"/>
      <c r="U51" s="410"/>
      <c r="V51" s="410"/>
    </row>
    <row r="52" spans="2:24" x14ac:dyDescent="0.5">
      <c r="B52" s="29"/>
      <c r="C52" s="116"/>
      <c r="D52" s="142"/>
      <c r="E52" s="116"/>
      <c r="F52" s="405"/>
      <c r="G52" s="402"/>
      <c r="H52" s="29"/>
      <c r="I52" s="116"/>
      <c r="J52" s="142"/>
      <c r="K52" s="116"/>
      <c r="L52" s="405"/>
      <c r="M52" s="402"/>
      <c r="S52" s="410"/>
      <c r="T52" s="410"/>
      <c r="U52" s="410"/>
      <c r="V52" s="410"/>
    </row>
    <row r="53" spans="2:24" x14ac:dyDescent="0.5">
      <c r="B53" s="29"/>
      <c r="C53" s="116" t="s">
        <v>340</v>
      </c>
      <c r="D53" s="142"/>
      <c r="E53" s="116"/>
      <c r="F53" s="116"/>
      <c r="G53" s="402"/>
      <c r="H53" s="29"/>
      <c r="I53" s="116" t="s">
        <v>340</v>
      </c>
      <c r="J53" s="142"/>
      <c r="K53" s="116"/>
      <c r="L53" s="116"/>
      <c r="M53" s="402"/>
      <c r="U53" s="410"/>
    </row>
    <row r="54" spans="2:24" x14ac:dyDescent="0.5">
      <c r="B54" s="29"/>
      <c r="C54" s="116" t="s">
        <v>51</v>
      </c>
      <c r="D54" s="142">
        <v>80000</v>
      </c>
      <c r="E54" s="116" t="s">
        <v>188</v>
      </c>
      <c r="F54" s="404">
        <f>'Yr 1 Rate Comp'!L54</f>
        <v>590.5</v>
      </c>
      <c r="G54" s="402" t="s">
        <v>241</v>
      </c>
      <c r="H54" s="29"/>
      <c r="I54" s="116" t="s">
        <v>51</v>
      </c>
      <c r="J54" s="142">
        <v>80000</v>
      </c>
      <c r="K54" s="116" t="s">
        <v>188</v>
      </c>
      <c r="L54" s="404">
        <f>V54</f>
        <v>677.16</v>
      </c>
      <c r="M54" s="402" t="s">
        <v>241</v>
      </c>
      <c r="O54" s="77">
        <f>L54-F54</f>
        <v>86.659999999999968</v>
      </c>
      <c r="Q54" s="545">
        <f>ROUND(O54/F54,3)</f>
        <v>0.14699999999999999</v>
      </c>
      <c r="S54" s="409">
        <f>F54</f>
        <v>590.5</v>
      </c>
      <c r="T54" s="409">
        <f>X54-S54</f>
        <v>86.659999999999968</v>
      </c>
      <c r="U54" s="410">
        <v>0</v>
      </c>
      <c r="V54" s="409">
        <f>SUM(S54:U54)</f>
        <v>677.16</v>
      </c>
      <c r="X54" s="77">
        <f>'Rates Comp'!L54</f>
        <v>677.16</v>
      </c>
    </row>
    <row r="55" spans="2:24" x14ac:dyDescent="0.5">
      <c r="B55" s="29"/>
      <c r="C55" s="116" t="s">
        <v>52</v>
      </c>
      <c r="D55" s="142">
        <v>20000</v>
      </c>
      <c r="E55" s="116" t="s">
        <v>188</v>
      </c>
      <c r="F55" s="405">
        <f>F50</f>
        <v>5.2700000000000004E-3</v>
      </c>
      <c r="G55" s="402" t="s">
        <v>240</v>
      </c>
      <c r="H55" s="29"/>
      <c r="I55" s="116" t="s">
        <v>52</v>
      </c>
      <c r="J55" s="142">
        <v>20000</v>
      </c>
      <c r="K55" s="116" t="s">
        <v>188</v>
      </c>
      <c r="L55" s="405">
        <f>L50</f>
        <v>6.0400000000000002E-3</v>
      </c>
      <c r="M55" s="402" t="s">
        <v>240</v>
      </c>
      <c r="S55" s="410"/>
      <c r="T55" s="410"/>
      <c r="U55" s="410"/>
      <c r="V55" s="410"/>
    </row>
    <row r="56" spans="2:24" x14ac:dyDescent="0.5">
      <c r="B56" s="29"/>
      <c r="C56" s="116" t="s">
        <v>114</v>
      </c>
      <c r="D56" s="142">
        <f>SUM(D53:D55)</f>
        <v>100000</v>
      </c>
      <c r="E56" s="116" t="s">
        <v>188</v>
      </c>
      <c r="F56" s="405">
        <f>F51</f>
        <v>4.3900000000000007E-3</v>
      </c>
      <c r="G56" s="402" t="s">
        <v>240</v>
      </c>
      <c r="H56" s="29"/>
      <c r="I56" s="116" t="s">
        <v>114</v>
      </c>
      <c r="J56" s="142">
        <f>SUM(J53:J55)</f>
        <v>100000</v>
      </c>
      <c r="K56" s="116" t="s">
        <v>188</v>
      </c>
      <c r="L56" s="405">
        <f>L51</f>
        <v>5.0300000000000006E-3</v>
      </c>
      <c r="M56" s="402" t="s">
        <v>240</v>
      </c>
      <c r="S56" s="410"/>
      <c r="T56" s="410"/>
      <c r="U56" s="410"/>
      <c r="V56" s="410"/>
    </row>
    <row r="57" spans="2:24" x14ac:dyDescent="0.5">
      <c r="B57" s="29"/>
      <c r="C57" s="116"/>
      <c r="D57" s="142"/>
      <c r="E57" s="116"/>
      <c r="F57" s="405"/>
      <c r="G57" s="402"/>
      <c r="H57" s="29"/>
      <c r="I57" s="116"/>
      <c r="J57" s="142"/>
      <c r="K57" s="116"/>
      <c r="L57" s="405"/>
      <c r="M57" s="402"/>
      <c r="S57" s="410"/>
      <c r="T57" s="410"/>
      <c r="U57" s="410"/>
      <c r="V57" s="410"/>
    </row>
    <row r="58" spans="2:24" x14ac:dyDescent="0.5">
      <c r="B58" s="29"/>
      <c r="C58" s="116" t="s">
        <v>460</v>
      </c>
      <c r="D58" s="142"/>
      <c r="E58" s="116"/>
      <c r="F58" s="405"/>
      <c r="G58" s="402"/>
      <c r="H58" s="29"/>
      <c r="I58" s="116" t="s">
        <v>460</v>
      </c>
      <c r="J58" s="142"/>
      <c r="K58" s="116"/>
      <c r="L58" s="404"/>
      <c r="M58" s="402"/>
      <c r="S58" s="410"/>
      <c r="T58" s="410"/>
      <c r="U58" s="410"/>
      <c r="V58" s="410"/>
    </row>
    <row r="59" spans="2:24" x14ac:dyDescent="0.5">
      <c r="B59" s="29"/>
      <c r="C59" s="116" t="s">
        <v>711</v>
      </c>
      <c r="D59" s="142"/>
      <c r="E59" s="116"/>
      <c r="F59" s="404">
        <f>'Yr 1 Rate Comp'!L59</f>
        <v>20.51</v>
      </c>
      <c r="G59" s="402"/>
      <c r="H59" s="29"/>
      <c r="I59" s="116" t="s">
        <v>711</v>
      </c>
      <c r="J59"/>
      <c r="K59" s="138"/>
      <c r="L59" s="404">
        <f>F59+O59</f>
        <v>23.525000000000002</v>
      </c>
      <c r="M59" s="402"/>
      <c r="N59" s="138"/>
      <c r="O59" s="77">
        <f>ROUND(F59*14.7%,3)</f>
        <v>3.0150000000000001</v>
      </c>
      <c r="Q59" s="545">
        <f>ROUND(O59/F59,3)</f>
        <v>0.14699999999999999</v>
      </c>
      <c r="S59" s="409">
        <f>F59</f>
        <v>20.51</v>
      </c>
      <c r="T59" s="409">
        <f>X59-S59</f>
        <v>3</v>
      </c>
      <c r="U59" s="410">
        <v>0</v>
      </c>
      <c r="V59" s="409">
        <f>SUM(S59:U59)</f>
        <v>23.51</v>
      </c>
      <c r="X59" s="77">
        <f>'Rates Comp'!L59</f>
        <v>23.51</v>
      </c>
    </row>
    <row r="60" spans="2:24" x14ac:dyDescent="0.5">
      <c r="B60" s="29"/>
      <c r="C60" s="116" t="s">
        <v>712</v>
      </c>
      <c r="D60" s="142"/>
      <c r="E60" s="116"/>
      <c r="F60" s="404">
        <f>'Yr 1 Rate Comp'!L60</f>
        <v>30.65</v>
      </c>
      <c r="G60" s="402"/>
      <c r="H60" s="29"/>
      <c r="I60" s="116" t="s">
        <v>712</v>
      </c>
      <c r="J60"/>
      <c r="K60" s="138"/>
      <c r="L60" s="404">
        <f t="shared" ref="L60:L66" si="16">F60+O60</f>
        <v>35.155999999999999</v>
      </c>
      <c r="M60" s="402"/>
      <c r="N60" s="138"/>
      <c r="O60" s="77">
        <f t="shared" ref="O60:O66" si="17">ROUND(F60*14.7%,3)</f>
        <v>4.5060000000000002</v>
      </c>
      <c r="Q60" s="545">
        <f t="shared" ref="Q60:Q66" si="18">ROUND(O60/F60,3)</f>
        <v>0.14699999999999999</v>
      </c>
      <c r="S60" s="409">
        <f t="shared" ref="S60:S66" si="19">F60</f>
        <v>30.65</v>
      </c>
      <c r="T60" s="409">
        <f t="shared" ref="T60:T66" si="20">X60-S60</f>
        <v>4.490000000000002</v>
      </c>
      <c r="U60" s="410">
        <v>0</v>
      </c>
      <c r="V60" s="409">
        <f t="shared" ref="V60:V66" si="21">SUM(S60:U60)</f>
        <v>35.14</v>
      </c>
      <c r="X60" s="77">
        <f>'Rates Comp'!L60</f>
        <v>35.14</v>
      </c>
    </row>
    <row r="61" spans="2:24" x14ac:dyDescent="0.5">
      <c r="B61" s="29"/>
      <c r="C61" s="116" t="s">
        <v>355</v>
      </c>
      <c r="D61" s="142"/>
      <c r="E61" s="116"/>
      <c r="F61" s="404">
        <f>'Yr 1 Rate Comp'!L61</f>
        <v>79.62</v>
      </c>
      <c r="G61" s="402"/>
      <c r="H61" s="29"/>
      <c r="I61" s="116" t="s">
        <v>355</v>
      </c>
      <c r="J61"/>
      <c r="K61" s="138"/>
      <c r="L61" s="404">
        <f t="shared" si="16"/>
        <v>91.324000000000012</v>
      </c>
      <c r="M61" s="402"/>
      <c r="N61" s="138"/>
      <c r="O61" s="77">
        <f t="shared" si="17"/>
        <v>11.704000000000001</v>
      </c>
      <c r="Q61" s="545">
        <f t="shared" si="18"/>
        <v>0.14699999999999999</v>
      </c>
      <c r="S61" s="409">
        <f t="shared" si="19"/>
        <v>79.62</v>
      </c>
      <c r="T61" s="409">
        <f t="shared" si="20"/>
        <v>11.669999999999987</v>
      </c>
      <c r="U61" s="410">
        <v>0</v>
      </c>
      <c r="V61" s="409">
        <f t="shared" si="21"/>
        <v>91.289999999999992</v>
      </c>
      <c r="X61" s="77">
        <f>'Rates Comp'!L61</f>
        <v>91.289999999999992</v>
      </c>
    </row>
    <row r="62" spans="2:24" x14ac:dyDescent="0.5">
      <c r="B62" s="29"/>
      <c r="C62" s="116" t="s">
        <v>356</v>
      </c>
      <c r="D62" s="142"/>
      <c r="E62" s="116"/>
      <c r="F62" s="404">
        <f>'Yr 1 Rate Comp'!L62</f>
        <v>173.07</v>
      </c>
      <c r="G62" s="402"/>
      <c r="H62" s="29"/>
      <c r="I62" s="116" t="s">
        <v>356</v>
      </c>
      <c r="J62" s="273"/>
      <c r="K62" s="272"/>
      <c r="L62" s="404">
        <f t="shared" si="16"/>
        <v>198.511</v>
      </c>
      <c r="M62" s="402"/>
      <c r="N62" s="274">
        <v>340.77</v>
      </c>
      <c r="O62" s="77">
        <f t="shared" si="17"/>
        <v>25.440999999999999</v>
      </c>
      <c r="Q62" s="545">
        <f t="shared" si="18"/>
        <v>0.14699999999999999</v>
      </c>
      <c r="S62" s="409">
        <f t="shared" si="19"/>
        <v>173.07</v>
      </c>
      <c r="T62" s="409">
        <f t="shared" si="20"/>
        <v>25.389989999999983</v>
      </c>
      <c r="U62" s="410">
        <v>0</v>
      </c>
      <c r="V62" s="409">
        <f t="shared" si="21"/>
        <v>198.45998999999998</v>
      </c>
      <c r="X62" s="77">
        <f>'Rates Comp'!L62</f>
        <v>198.45998999999998</v>
      </c>
    </row>
    <row r="63" spans="2:24" x14ac:dyDescent="0.5">
      <c r="B63" s="29"/>
      <c r="C63" t="s">
        <v>351</v>
      </c>
      <c r="D63" s="142"/>
      <c r="E63" s="116"/>
      <c r="F63" s="404">
        <f>'Yr 1 Rate Comp'!L63</f>
        <v>398.7</v>
      </c>
      <c r="G63" s="402"/>
      <c r="H63" s="29"/>
      <c r="I63" t="s">
        <v>351</v>
      </c>
      <c r="J63" s="142"/>
      <c r="K63" s="116"/>
      <c r="L63" s="404">
        <f t="shared" si="16"/>
        <v>457.30899999999997</v>
      </c>
      <c r="M63" s="402"/>
      <c r="O63" s="77">
        <f t="shared" si="17"/>
        <v>58.609000000000002</v>
      </c>
      <c r="Q63" s="545">
        <f t="shared" si="18"/>
        <v>0.14699999999999999</v>
      </c>
      <c r="S63" s="409">
        <f t="shared" si="19"/>
        <v>398.7</v>
      </c>
      <c r="T63" s="409">
        <f t="shared" si="20"/>
        <v>58.509990000000016</v>
      </c>
      <c r="U63" s="410">
        <v>0</v>
      </c>
      <c r="V63" s="409">
        <f t="shared" si="21"/>
        <v>457.20999</v>
      </c>
      <c r="X63" s="77">
        <f>'Rates Comp'!L63</f>
        <v>457.20999</v>
      </c>
    </row>
    <row r="64" spans="2:24" x14ac:dyDescent="0.5">
      <c r="B64" s="29"/>
      <c r="C64" s="116" t="s">
        <v>713</v>
      </c>
      <c r="D64" s="142"/>
      <c r="E64" s="116"/>
      <c r="F64" s="404">
        <f>'Yr 1 Rate Comp'!L64</f>
        <v>770.06</v>
      </c>
      <c r="G64" s="402"/>
      <c r="H64" s="29"/>
      <c r="I64" s="116" t="s">
        <v>713</v>
      </c>
      <c r="J64" s="142"/>
      <c r="K64" s="116"/>
      <c r="L64" s="404">
        <f t="shared" si="16"/>
        <v>883.2589999999999</v>
      </c>
      <c r="M64" s="402"/>
      <c r="O64" s="77">
        <f t="shared" si="17"/>
        <v>113.199</v>
      </c>
      <c r="Q64" s="545">
        <f t="shared" si="18"/>
        <v>0.14699999999999999</v>
      </c>
      <c r="S64" s="409">
        <f t="shared" si="19"/>
        <v>770.06</v>
      </c>
      <c r="T64" s="409">
        <f t="shared" si="20"/>
        <v>113</v>
      </c>
      <c r="U64" s="410">
        <v>0</v>
      </c>
      <c r="V64" s="409">
        <f t="shared" si="21"/>
        <v>883.06</v>
      </c>
      <c r="X64" s="77">
        <f>'Rates Comp'!L64</f>
        <v>883.06</v>
      </c>
    </row>
    <row r="65" spans="2:24" x14ac:dyDescent="0.5">
      <c r="B65" s="29"/>
      <c r="C65" s="116" t="s">
        <v>714</v>
      </c>
      <c r="D65" s="142"/>
      <c r="E65" s="116"/>
      <c r="F65" s="404">
        <f>'Yr 1 Rate Comp'!L65</f>
        <v>1333.45</v>
      </c>
      <c r="G65" s="402"/>
      <c r="H65" s="29"/>
      <c r="I65" s="116" t="s">
        <v>714</v>
      </c>
      <c r="J65" s="142"/>
      <c r="K65" s="116"/>
      <c r="L65" s="404">
        <f t="shared" si="16"/>
        <v>1529.4670000000001</v>
      </c>
      <c r="M65" s="402"/>
      <c r="O65" s="77">
        <f t="shared" si="17"/>
        <v>196.017</v>
      </c>
      <c r="Q65" s="545">
        <f t="shared" si="18"/>
        <v>0.14699999999999999</v>
      </c>
      <c r="S65" s="409">
        <f t="shared" si="19"/>
        <v>1333.45</v>
      </c>
      <c r="T65" s="409">
        <f t="shared" si="20"/>
        <v>195.68000000000006</v>
      </c>
      <c r="U65" s="410">
        <v>0</v>
      </c>
      <c r="V65" s="409">
        <f t="shared" si="21"/>
        <v>1529.13</v>
      </c>
      <c r="X65" s="77">
        <f>'Rates Comp'!L65</f>
        <v>1529.13</v>
      </c>
    </row>
    <row r="66" spans="2:24" x14ac:dyDescent="0.5">
      <c r="B66" s="31"/>
      <c r="C66" s="310" t="s">
        <v>715</v>
      </c>
      <c r="D66" s="207"/>
      <c r="E66" s="207"/>
      <c r="F66" s="580">
        <f>'Yr 1 Rate Comp'!L66</f>
        <v>2105.19</v>
      </c>
      <c r="G66" s="209"/>
      <c r="H66" s="31"/>
      <c r="I66" s="310" t="s">
        <v>715</v>
      </c>
      <c r="J66" s="207"/>
      <c r="K66" s="207"/>
      <c r="L66" s="580">
        <f t="shared" si="16"/>
        <v>2414.6530000000002</v>
      </c>
      <c r="M66" s="209"/>
      <c r="O66" s="77">
        <f t="shared" si="17"/>
        <v>309.46300000000002</v>
      </c>
      <c r="Q66" s="545">
        <f t="shared" si="18"/>
        <v>0.14699999999999999</v>
      </c>
      <c r="S66" s="409">
        <f t="shared" si="19"/>
        <v>2105.19</v>
      </c>
      <c r="T66" s="409">
        <f t="shared" si="20"/>
        <v>308.92999999999984</v>
      </c>
      <c r="U66" s="410">
        <v>0</v>
      </c>
      <c r="V66" s="409">
        <f t="shared" si="21"/>
        <v>2414.12</v>
      </c>
      <c r="X66" s="77">
        <f>'Rates Comp'!L66</f>
        <v>2414.12</v>
      </c>
    </row>
  </sheetData>
  <mergeCells count="5">
    <mergeCell ref="C3:M3"/>
    <mergeCell ref="C4:M4"/>
    <mergeCell ref="C5:M5"/>
    <mergeCell ref="C8:G8"/>
    <mergeCell ref="I8:M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515E-4730-4C4D-B8A3-522D0FC36519}">
  <dimension ref="C3:N63"/>
  <sheetViews>
    <sheetView showGridLines="0" workbookViewId="0">
      <selection activeCell="C3" sqref="C3:N63"/>
    </sheetView>
  </sheetViews>
  <sheetFormatPr defaultColWidth="10.77734375" defaultRowHeight="15" x14ac:dyDescent="0.4"/>
  <cols>
    <col min="1" max="1" width="10.77734375" style="116"/>
    <col min="2" max="2" width="1.77734375" style="116" customWidth="1"/>
    <col min="3" max="5" width="10.77734375" style="116"/>
    <col min="6" max="6" width="10.77734375" style="399"/>
    <col min="7" max="7" width="10.77734375" style="116"/>
    <col min="8" max="8" width="1.77734375" style="116" customWidth="1"/>
    <col min="9" max="9" width="10.77734375" style="399"/>
    <col min="10" max="10" width="10.77734375" style="116"/>
    <col min="11" max="11" width="1.77734375" style="116" customWidth="1"/>
    <col min="12" max="12" width="10.77734375" style="116"/>
    <col min="13" max="13" width="1.77734375" style="116" customWidth="1"/>
    <col min="14" max="16384" width="10.77734375" style="116"/>
  </cols>
  <sheetData>
    <row r="3" spans="3:14" x14ac:dyDescent="0.4">
      <c r="C3" s="660" t="s">
        <v>730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</row>
    <row r="5" spans="3:14" x14ac:dyDescent="0.4">
      <c r="F5" s="116"/>
      <c r="I5" s="668" t="s">
        <v>236</v>
      </c>
      <c r="J5" s="668"/>
    </row>
    <row r="6" spans="3:14" x14ac:dyDescent="0.4">
      <c r="F6" s="657" t="s">
        <v>235</v>
      </c>
      <c r="G6" s="657"/>
      <c r="I6" s="657" t="s">
        <v>679</v>
      </c>
      <c r="J6" s="657"/>
      <c r="L6" s="657" t="s">
        <v>237</v>
      </c>
      <c r="M6" s="657"/>
      <c r="N6" s="657"/>
    </row>
    <row r="7" spans="3:14" x14ac:dyDescent="0.4">
      <c r="C7" s="592" t="s">
        <v>333</v>
      </c>
      <c r="D7" s="142"/>
      <c r="F7" s="403"/>
      <c r="I7" s="403"/>
    </row>
    <row r="8" spans="3:14" x14ac:dyDescent="0.4">
      <c r="C8" s="116" t="s">
        <v>51</v>
      </c>
      <c r="D8" s="142">
        <v>2000</v>
      </c>
      <c r="E8" s="116" t="s">
        <v>188</v>
      </c>
      <c r="F8" s="404">
        <f>'Yr 1 Rate Comp'!F11</f>
        <v>20.38</v>
      </c>
      <c r="G8" s="116" t="s">
        <v>241</v>
      </c>
      <c r="I8" s="404">
        <f>'Yr 1 Rate Comp'!L11</f>
        <v>23.83</v>
      </c>
      <c r="J8" s="116" t="s">
        <v>241</v>
      </c>
      <c r="L8" s="404">
        <f>I8-F8</f>
        <v>3.4499999999999993</v>
      </c>
      <c r="N8" s="599">
        <f>ROUND(L8/F8,4)</f>
        <v>0.16930000000000001</v>
      </c>
    </row>
    <row r="9" spans="3:14" x14ac:dyDescent="0.4">
      <c r="C9" s="116" t="s">
        <v>52</v>
      </c>
      <c r="D9" s="142">
        <v>4000</v>
      </c>
      <c r="E9" s="116" t="s">
        <v>188</v>
      </c>
      <c r="F9" s="405">
        <f>'Yr 1 Rate Comp'!F12</f>
        <v>5.8999999999999999E-3</v>
      </c>
      <c r="G9" s="116" t="s">
        <v>240</v>
      </c>
      <c r="I9" s="405">
        <f>'Yr 1 Rate Comp'!L12</f>
        <v>6.8900000000000003E-3</v>
      </c>
      <c r="J9" s="116" t="s">
        <v>240</v>
      </c>
      <c r="L9" s="405">
        <f t="shared" ref="L9:L12" si="0">I9-F9</f>
        <v>9.9000000000000043E-4</v>
      </c>
      <c r="N9" s="599">
        <f t="shared" ref="N9:N12" si="1">ROUND(L9/F9,4)</f>
        <v>0.1678</v>
      </c>
    </row>
    <row r="10" spans="3:14" x14ac:dyDescent="0.4">
      <c r="C10" s="116" t="s">
        <v>52</v>
      </c>
      <c r="D10" s="142">
        <v>44000</v>
      </c>
      <c r="E10" s="116" t="s">
        <v>188</v>
      </c>
      <c r="F10" s="405">
        <f>'Yr 1 Rate Comp'!F13</f>
        <v>5.2399999999999999E-3</v>
      </c>
      <c r="G10" s="116" t="s">
        <v>240</v>
      </c>
      <c r="I10" s="405">
        <f>'Yr 1 Rate Comp'!L13</f>
        <v>6.1200000000000004E-3</v>
      </c>
      <c r="J10" s="116" t="s">
        <v>240</v>
      </c>
      <c r="L10" s="405">
        <f t="shared" si="0"/>
        <v>8.8000000000000057E-4</v>
      </c>
      <c r="N10" s="599">
        <f t="shared" si="1"/>
        <v>0.16789999999999999</v>
      </c>
    </row>
    <row r="11" spans="3:14" x14ac:dyDescent="0.4">
      <c r="C11" s="116" t="s">
        <v>52</v>
      </c>
      <c r="D11" s="142">
        <v>50000</v>
      </c>
      <c r="E11" s="116" t="s">
        <v>188</v>
      </c>
      <c r="F11" s="405">
        <f>'Yr 1 Rate Comp'!F14</f>
        <v>4.5100000000000001E-3</v>
      </c>
      <c r="G11" s="116" t="s">
        <v>240</v>
      </c>
      <c r="I11" s="405">
        <f>'Yr 1 Rate Comp'!L14</f>
        <v>5.2700000000000004E-3</v>
      </c>
      <c r="J11" s="116" t="s">
        <v>240</v>
      </c>
      <c r="L11" s="405">
        <f t="shared" si="0"/>
        <v>7.6000000000000026E-4</v>
      </c>
      <c r="N11" s="599">
        <f t="shared" si="1"/>
        <v>0.16850000000000001</v>
      </c>
    </row>
    <row r="12" spans="3:14" x14ac:dyDescent="0.4">
      <c r="C12" s="116" t="s">
        <v>114</v>
      </c>
      <c r="D12" s="142">
        <f>SUM(D8:D11)</f>
        <v>100000</v>
      </c>
      <c r="E12" s="116" t="s">
        <v>188</v>
      </c>
      <c r="F12" s="405">
        <f>'Yr 1 Rate Comp'!F15</f>
        <v>3.7599999999999999E-3</v>
      </c>
      <c r="G12" s="116" t="s">
        <v>240</v>
      </c>
      <c r="I12" s="405">
        <f>'Yr 1 Rate Comp'!L15</f>
        <v>4.3900000000000007E-3</v>
      </c>
      <c r="J12" s="116" t="s">
        <v>240</v>
      </c>
      <c r="L12" s="405">
        <f t="shared" si="0"/>
        <v>6.3000000000000079E-4</v>
      </c>
      <c r="N12" s="599">
        <f t="shared" si="1"/>
        <v>0.1676</v>
      </c>
    </row>
    <row r="13" spans="3:14" x14ac:dyDescent="0.4">
      <c r="D13" s="142"/>
      <c r="F13" s="404"/>
      <c r="I13" s="405"/>
    </row>
    <row r="14" spans="3:14" x14ac:dyDescent="0.4">
      <c r="C14" s="592" t="s">
        <v>334</v>
      </c>
      <c r="D14" s="142"/>
      <c r="F14" s="116"/>
      <c r="I14" s="116"/>
    </row>
    <row r="15" spans="3:14" x14ac:dyDescent="0.4">
      <c r="C15" s="116" t="s">
        <v>51</v>
      </c>
      <c r="D15" s="142">
        <v>5000</v>
      </c>
      <c r="E15" s="116" t="s">
        <v>188</v>
      </c>
      <c r="F15" s="404">
        <f>'Yr 1 Rate Comp'!F18</f>
        <v>38.68</v>
      </c>
      <c r="G15" s="116" t="s">
        <v>241</v>
      </c>
      <c r="I15" s="404">
        <f>'Yr 1 Rate Comp'!L18</f>
        <v>45.25</v>
      </c>
      <c r="J15" s="116" t="s">
        <v>241</v>
      </c>
      <c r="L15" s="404">
        <f>I15-F15</f>
        <v>6.57</v>
      </c>
      <c r="N15" s="599">
        <f>ROUND(L15/F15,4)</f>
        <v>0.1699</v>
      </c>
    </row>
    <row r="16" spans="3:14" x14ac:dyDescent="0.4">
      <c r="C16" s="116" t="s">
        <v>52</v>
      </c>
      <c r="D16" s="142">
        <v>1000</v>
      </c>
      <c r="E16" s="116" t="s">
        <v>188</v>
      </c>
      <c r="F16" s="405">
        <f>'Yr 1 Rate Comp'!F19</f>
        <v>5.8999999999999999E-3</v>
      </c>
      <c r="G16" s="116" t="s">
        <v>240</v>
      </c>
      <c r="I16" s="405">
        <f>'Yr 1 Rate Comp'!L19</f>
        <v>6.8900000000000003E-3</v>
      </c>
      <c r="J16" s="116" t="s">
        <v>240</v>
      </c>
      <c r="L16" s="405">
        <f t="shared" ref="L16:L19" si="2">I16-F16</f>
        <v>9.9000000000000043E-4</v>
      </c>
      <c r="N16" s="599">
        <f t="shared" ref="N16:N19" si="3">ROUND(L16/F16,4)</f>
        <v>0.1678</v>
      </c>
    </row>
    <row r="17" spans="3:14" x14ac:dyDescent="0.4">
      <c r="C17" s="116" t="s">
        <v>52</v>
      </c>
      <c r="D17" s="142">
        <v>44000</v>
      </c>
      <c r="E17" s="116" t="s">
        <v>188</v>
      </c>
      <c r="F17" s="405">
        <f>'Yr 1 Rate Comp'!F20</f>
        <v>5.2399999999999999E-3</v>
      </c>
      <c r="G17" s="116" t="s">
        <v>240</v>
      </c>
      <c r="I17" s="405">
        <f>'Yr 1 Rate Comp'!L20</f>
        <v>6.1200000000000004E-3</v>
      </c>
      <c r="J17" s="116" t="s">
        <v>240</v>
      </c>
      <c r="L17" s="405">
        <f t="shared" si="2"/>
        <v>8.8000000000000057E-4</v>
      </c>
      <c r="N17" s="599">
        <f t="shared" si="3"/>
        <v>0.16789999999999999</v>
      </c>
    </row>
    <row r="18" spans="3:14" x14ac:dyDescent="0.4">
      <c r="C18" s="116" t="s">
        <v>52</v>
      </c>
      <c r="D18" s="142">
        <v>50000</v>
      </c>
      <c r="E18" s="116" t="s">
        <v>188</v>
      </c>
      <c r="F18" s="405">
        <f>'Yr 1 Rate Comp'!F21</f>
        <v>4.5100000000000001E-3</v>
      </c>
      <c r="G18" s="116" t="s">
        <v>240</v>
      </c>
      <c r="I18" s="405">
        <f>'Yr 1 Rate Comp'!L21</f>
        <v>5.2700000000000004E-3</v>
      </c>
      <c r="J18" s="116" t="s">
        <v>240</v>
      </c>
      <c r="L18" s="405">
        <f t="shared" si="2"/>
        <v>7.6000000000000026E-4</v>
      </c>
      <c r="N18" s="599">
        <f t="shared" si="3"/>
        <v>0.16850000000000001</v>
      </c>
    </row>
    <row r="19" spans="3:14" x14ac:dyDescent="0.4">
      <c r="C19" s="116" t="s">
        <v>114</v>
      </c>
      <c r="D19" s="142">
        <f>SUM(D15:D18)</f>
        <v>100000</v>
      </c>
      <c r="E19" s="116" t="s">
        <v>188</v>
      </c>
      <c r="F19" s="405">
        <f>'Yr 1 Rate Comp'!F22</f>
        <v>3.7599999999999999E-3</v>
      </c>
      <c r="G19" s="116" t="s">
        <v>240</v>
      </c>
      <c r="I19" s="405">
        <f>'Yr 1 Rate Comp'!L22</f>
        <v>4.3900000000000007E-3</v>
      </c>
      <c r="J19" s="116" t="s">
        <v>240</v>
      </c>
      <c r="L19" s="405">
        <f t="shared" si="2"/>
        <v>6.3000000000000079E-4</v>
      </c>
      <c r="N19" s="599">
        <f t="shared" si="3"/>
        <v>0.1676</v>
      </c>
    </row>
    <row r="20" spans="3:14" x14ac:dyDescent="0.4">
      <c r="D20" s="142"/>
      <c r="F20" s="405"/>
      <c r="I20" s="405"/>
      <c r="K20" s="552"/>
      <c r="M20" s="552"/>
    </row>
    <row r="21" spans="3:14" x14ac:dyDescent="0.4">
      <c r="C21" s="592" t="s">
        <v>335</v>
      </c>
      <c r="D21" s="142"/>
      <c r="F21" s="405"/>
      <c r="I21" s="405"/>
    </row>
    <row r="22" spans="3:14" x14ac:dyDescent="0.4">
      <c r="C22" s="116" t="s">
        <v>51</v>
      </c>
      <c r="D22" s="142">
        <v>10000</v>
      </c>
      <c r="E22" s="116" t="s">
        <v>188</v>
      </c>
      <c r="F22" s="404">
        <f>'Yr 1 Rate Comp'!F25</f>
        <v>69.11</v>
      </c>
      <c r="G22" s="116" t="s">
        <v>241</v>
      </c>
      <c r="I22" s="404">
        <f>'Yr 1 Rate Comp'!L25</f>
        <v>80.849999999999994</v>
      </c>
      <c r="J22" s="116" t="s">
        <v>241</v>
      </c>
      <c r="L22" s="404">
        <f>I22-F22</f>
        <v>11.739999999999995</v>
      </c>
      <c r="N22" s="599">
        <f>ROUND(L22/F22,4)</f>
        <v>0.1699</v>
      </c>
    </row>
    <row r="23" spans="3:14" x14ac:dyDescent="0.4">
      <c r="C23" s="116" t="s">
        <v>52</v>
      </c>
      <c r="D23" s="142">
        <v>40000</v>
      </c>
      <c r="E23" s="116" t="s">
        <v>188</v>
      </c>
      <c r="F23" s="405">
        <f>'Yr 1 Rate Comp'!F26</f>
        <v>5.2399999999999999E-3</v>
      </c>
      <c r="G23" s="116" t="s">
        <v>240</v>
      </c>
      <c r="I23" s="405">
        <f>'Yr 1 Rate Comp'!L26</f>
        <v>6.1200000000000004E-3</v>
      </c>
      <c r="J23" s="116" t="s">
        <v>240</v>
      </c>
      <c r="L23" s="405">
        <f t="shared" ref="L23:L25" si="4">I23-F23</f>
        <v>8.8000000000000057E-4</v>
      </c>
      <c r="N23" s="599">
        <f t="shared" ref="N23:N25" si="5">ROUND(L23/F23,4)</f>
        <v>0.16789999999999999</v>
      </c>
    </row>
    <row r="24" spans="3:14" x14ac:dyDescent="0.4">
      <c r="C24" s="116" t="s">
        <v>52</v>
      </c>
      <c r="D24" s="142">
        <v>50000</v>
      </c>
      <c r="E24" s="116" t="s">
        <v>188</v>
      </c>
      <c r="F24" s="405">
        <f>'Yr 1 Rate Comp'!F27</f>
        <v>4.5100000000000001E-3</v>
      </c>
      <c r="G24" s="116" t="s">
        <v>240</v>
      </c>
      <c r="I24" s="405">
        <f>'Yr 1 Rate Comp'!L27</f>
        <v>5.2700000000000004E-3</v>
      </c>
      <c r="J24" s="116" t="s">
        <v>240</v>
      </c>
      <c r="L24" s="405">
        <f t="shared" si="4"/>
        <v>7.6000000000000026E-4</v>
      </c>
      <c r="N24" s="599">
        <f t="shared" si="5"/>
        <v>0.16850000000000001</v>
      </c>
    </row>
    <row r="25" spans="3:14" x14ac:dyDescent="0.4">
      <c r="C25" s="116" t="s">
        <v>114</v>
      </c>
      <c r="D25" s="142">
        <f>SUM(D21:D24)</f>
        <v>100000</v>
      </c>
      <c r="E25" s="116" t="s">
        <v>188</v>
      </c>
      <c r="F25" s="405">
        <f>'Yr 1 Rate Comp'!F28</f>
        <v>3.7599999999999999E-3</v>
      </c>
      <c r="G25" s="116" t="s">
        <v>240</v>
      </c>
      <c r="I25" s="405">
        <f>'Yr 1 Rate Comp'!L28</f>
        <v>4.3900000000000007E-3</v>
      </c>
      <c r="J25" s="116" t="s">
        <v>240</v>
      </c>
      <c r="L25" s="405">
        <f t="shared" si="4"/>
        <v>6.3000000000000079E-4</v>
      </c>
      <c r="N25" s="599">
        <f t="shared" si="5"/>
        <v>0.1676</v>
      </c>
    </row>
    <row r="26" spans="3:14" x14ac:dyDescent="0.4">
      <c r="D26" s="142"/>
      <c r="F26" s="405"/>
      <c r="I26" s="405"/>
    </row>
    <row r="27" spans="3:14" x14ac:dyDescent="0.4">
      <c r="C27" s="592" t="s">
        <v>336</v>
      </c>
      <c r="D27" s="142"/>
      <c r="F27" s="116"/>
      <c r="I27" s="116"/>
    </row>
    <row r="28" spans="3:14" x14ac:dyDescent="0.4">
      <c r="C28" s="116" t="s">
        <v>51</v>
      </c>
      <c r="D28" s="142">
        <v>16000</v>
      </c>
      <c r="E28" s="116" t="s">
        <v>188</v>
      </c>
      <c r="F28" s="404">
        <f>'Yr 1 Rate Comp'!F31</f>
        <v>101.44</v>
      </c>
      <c r="G28" s="116" t="s">
        <v>241</v>
      </c>
      <c r="I28" s="404">
        <f>'Yr 1 Rate Comp'!L31</f>
        <v>118.66999999999999</v>
      </c>
      <c r="J28" s="116" t="s">
        <v>241</v>
      </c>
      <c r="L28" s="404">
        <f>I28-F28</f>
        <v>17.22999999999999</v>
      </c>
      <c r="N28" s="599">
        <f>ROUND(L28/F28,4)</f>
        <v>0.1699</v>
      </c>
    </row>
    <row r="29" spans="3:14" x14ac:dyDescent="0.4">
      <c r="C29" s="116" t="s">
        <v>52</v>
      </c>
      <c r="D29" s="142">
        <v>34000</v>
      </c>
      <c r="E29" s="116" t="s">
        <v>188</v>
      </c>
      <c r="F29" s="405">
        <f>'Yr 1 Rate Comp'!F32</f>
        <v>5.2399999999999999E-3</v>
      </c>
      <c r="G29" s="116" t="s">
        <v>240</v>
      </c>
      <c r="I29" s="405">
        <f>'Yr 1 Rate Comp'!L32</f>
        <v>6.1200000000000004E-3</v>
      </c>
      <c r="J29" s="116" t="s">
        <v>240</v>
      </c>
      <c r="L29" s="405">
        <f t="shared" ref="L29:L31" si="6">I29-F29</f>
        <v>8.8000000000000057E-4</v>
      </c>
      <c r="N29" s="599">
        <f t="shared" ref="N29:N31" si="7">ROUND(L29/F29,4)</f>
        <v>0.16789999999999999</v>
      </c>
    </row>
    <row r="30" spans="3:14" x14ac:dyDescent="0.4">
      <c r="C30" s="116" t="s">
        <v>52</v>
      </c>
      <c r="D30" s="142">
        <v>50000</v>
      </c>
      <c r="E30" s="116" t="s">
        <v>188</v>
      </c>
      <c r="F30" s="405">
        <f>'Yr 1 Rate Comp'!F33</f>
        <v>4.5100000000000001E-3</v>
      </c>
      <c r="G30" s="116" t="s">
        <v>240</v>
      </c>
      <c r="I30" s="405">
        <f>'Yr 1 Rate Comp'!L33</f>
        <v>5.2700000000000004E-3</v>
      </c>
      <c r="J30" s="116" t="s">
        <v>240</v>
      </c>
      <c r="L30" s="405">
        <f t="shared" si="6"/>
        <v>7.6000000000000026E-4</v>
      </c>
      <c r="N30" s="599">
        <f t="shared" si="7"/>
        <v>0.16850000000000001</v>
      </c>
    </row>
    <row r="31" spans="3:14" x14ac:dyDescent="0.4">
      <c r="C31" s="116" t="s">
        <v>114</v>
      </c>
      <c r="D31" s="142">
        <f>SUM(D27:D30)</f>
        <v>100000</v>
      </c>
      <c r="E31" s="116" t="s">
        <v>188</v>
      </c>
      <c r="F31" s="405">
        <f>'Yr 1 Rate Comp'!F34</f>
        <v>3.7599999999999999E-3</v>
      </c>
      <c r="G31" s="116" t="s">
        <v>240</v>
      </c>
      <c r="I31" s="405">
        <f>'Yr 1 Rate Comp'!L34</f>
        <v>4.3900000000000007E-3</v>
      </c>
      <c r="J31" s="116" t="s">
        <v>240</v>
      </c>
      <c r="L31" s="405">
        <f t="shared" si="6"/>
        <v>6.3000000000000079E-4</v>
      </c>
      <c r="N31" s="599">
        <f t="shared" si="7"/>
        <v>0.1676</v>
      </c>
    </row>
    <row r="32" spans="3:14" x14ac:dyDescent="0.4">
      <c r="D32" s="142"/>
      <c r="F32" s="405"/>
      <c r="I32" s="405"/>
    </row>
    <row r="33" spans="3:14" x14ac:dyDescent="0.4">
      <c r="C33" s="592" t="s">
        <v>337</v>
      </c>
      <c r="D33" s="142"/>
      <c r="F33" s="116"/>
      <c r="I33" s="116"/>
    </row>
    <row r="34" spans="3:14" x14ac:dyDescent="0.4">
      <c r="C34" s="116" t="s">
        <v>51</v>
      </c>
      <c r="D34" s="142">
        <v>25000</v>
      </c>
      <c r="E34" s="116" t="s">
        <v>188</v>
      </c>
      <c r="F34" s="404">
        <f>'Yr 1 Rate Comp'!F37</f>
        <v>164.67</v>
      </c>
      <c r="G34" s="116" t="s">
        <v>241</v>
      </c>
      <c r="I34" s="404">
        <f>'Yr 1 Rate Comp'!L37</f>
        <v>192.65</v>
      </c>
      <c r="J34" s="116" t="s">
        <v>241</v>
      </c>
      <c r="L34" s="404">
        <f>I34-F34</f>
        <v>27.980000000000018</v>
      </c>
      <c r="N34" s="599">
        <f>ROUND(L34/F34,4)</f>
        <v>0.1699</v>
      </c>
    </row>
    <row r="35" spans="3:14" x14ac:dyDescent="0.4">
      <c r="C35" s="116" t="s">
        <v>52</v>
      </c>
      <c r="D35" s="142">
        <v>25000</v>
      </c>
      <c r="E35" s="116" t="s">
        <v>188</v>
      </c>
      <c r="F35" s="405">
        <f>'Yr 1 Rate Comp'!F38</f>
        <v>5.2399999999999999E-3</v>
      </c>
      <c r="G35" s="116" t="s">
        <v>240</v>
      </c>
      <c r="I35" s="405">
        <f>'Yr 1 Rate Comp'!L38</f>
        <v>6.1200000000000004E-3</v>
      </c>
      <c r="J35" s="116" t="s">
        <v>240</v>
      </c>
      <c r="L35" s="405">
        <f t="shared" ref="L35:L37" si="8">I35-F35</f>
        <v>8.8000000000000057E-4</v>
      </c>
      <c r="N35" s="599">
        <f t="shared" ref="N35:N37" si="9">ROUND(L35/F35,4)</f>
        <v>0.16789999999999999</v>
      </c>
    </row>
    <row r="36" spans="3:14" x14ac:dyDescent="0.4">
      <c r="C36" s="116" t="s">
        <v>52</v>
      </c>
      <c r="D36" s="142">
        <v>50000</v>
      </c>
      <c r="E36" s="116" t="s">
        <v>188</v>
      </c>
      <c r="F36" s="405">
        <f>'Yr 1 Rate Comp'!F39</f>
        <v>4.5100000000000001E-3</v>
      </c>
      <c r="G36" s="116" t="s">
        <v>240</v>
      </c>
      <c r="I36" s="405">
        <f>'Yr 1 Rate Comp'!L39</f>
        <v>5.2700000000000004E-3</v>
      </c>
      <c r="J36" s="116" t="s">
        <v>240</v>
      </c>
      <c r="L36" s="405">
        <f t="shared" si="8"/>
        <v>7.6000000000000026E-4</v>
      </c>
      <c r="N36" s="599">
        <f t="shared" si="9"/>
        <v>0.16850000000000001</v>
      </c>
    </row>
    <row r="37" spans="3:14" x14ac:dyDescent="0.4">
      <c r="C37" s="116" t="s">
        <v>114</v>
      </c>
      <c r="D37" s="142">
        <f>SUM(D33:D36)</f>
        <v>100000</v>
      </c>
      <c r="E37" s="116" t="s">
        <v>188</v>
      </c>
      <c r="F37" s="405">
        <f>'Yr 1 Rate Comp'!F40</f>
        <v>3.7599999999999999E-3</v>
      </c>
      <c r="G37" s="116" t="s">
        <v>240</v>
      </c>
      <c r="I37" s="405">
        <f>'Yr 1 Rate Comp'!L40</f>
        <v>4.3900000000000007E-3</v>
      </c>
      <c r="J37" s="116" t="s">
        <v>240</v>
      </c>
      <c r="L37" s="405">
        <f t="shared" si="8"/>
        <v>6.3000000000000079E-4</v>
      </c>
      <c r="N37" s="599">
        <f t="shared" si="9"/>
        <v>0.1676</v>
      </c>
    </row>
    <row r="38" spans="3:14" x14ac:dyDescent="0.4">
      <c r="D38" s="142"/>
      <c r="F38" s="405"/>
      <c r="I38" s="405"/>
    </row>
    <row r="39" spans="3:14" x14ac:dyDescent="0.4">
      <c r="C39" s="592" t="s">
        <v>338</v>
      </c>
      <c r="D39" s="142"/>
      <c r="F39" s="116"/>
      <c r="I39" s="116"/>
    </row>
    <row r="40" spans="3:14" x14ac:dyDescent="0.4">
      <c r="C40" s="116" t="s">
        <v>51</v>
      </c>
      <c r="D40" s="142">
        <v>30000</v>
      </c>
      <c r="E40" s="116" t="s">
        <v>188</v>
      </c>
      <c r="F40" s="404">
        <f>'Yr 1 Rate Comp'!F43</f>
        <v>227.81</v>
      </c>
      <c r="G40" s="116" t="s">
        <v>241</v>
      </c>
      <c r="I40" s="404">
        <f>'Yr 1 Rate Comp'!L43</f>
        <v>266.53000000000003</v>
      </c>
      <c r="J40" s="116" t="s">
        <v>241</v>
      </c>
      <c r="L40" s="404">
        <f>I40-F40</f>
        <v>38.720000000000027</v>
      </c>
      <c r="N40" s="599">
        <f>ROUND(L40/F40,4)</f>
        <v>0.17</v>
      </c>
    </row>
    <row r="41" spans="3:14" x14ac:dyDescent="0.4">
      <c r="C41" s="116" t="s">
        <v>52</v>
      </c>
      <c r="D41" s="142">
        <v>20000</v>
      </c>
      <c r="E41" s="116" t="s">
        <v>188</v>
      </c>
      <c r="F41" s="405">
        <f>'Yr 1 Rate Comp'!F44</f>
        <v>5.2399999999999999E-3</v>
      </c>
      <c r="G41" s="116" t="s">
        <v>240</v>
      </c>
      <c r="I41" s="405">
        <f>'Yr 1 Rate Comp'!L44</f>
        <v>6.1200000000000004E-3</v>
      </c>
      <c r="J41" s="116" t="s">
        <v>240</v>
      </c>
      <c r="L41" s="405">
        <f t="shared" ref="L41:L43" si="10">I41-F41</f>
        <v>8.8000000000000057E-4</v>
      </c>
      <c r="N41" s="599">
        <f t="shared" ref="N41:N43" si="11">ROUND(L41/F41,4)</f>
        <v>0.16789999999999999</v>
      </c>
    </row>
    <row r="42" spans="3:14" x14ac:dyDescent="0.4">
      <c r="C42" s="116" t="s">
        <v>52</v>
      </c>
      <c r="D42" s="142">
        <v>50000</v>
      </c>
      <c r="E42" s="116" t="s">
        <v>188</v>
      </c>
      <c r="F42" s="405">
        <f>'Yr 1 Rate Comp'!F45</f>
        <v>4.5100000000000001E-3</v>
      </c>
      <c r="G42" s="116" t="s">
        <v>240</v>
      </c>
      <c r="I42" s="405">
        <f>'Yr 1 Rate Comp'!L45</f>
        <v>5.2700000000000004E-3</v>
      </c>
      <c r="J42" s="116" t="s">
        <v>240</v>
      </c>
      <c r="L42" s="405">
        <f t="shared" si="10"/>
        <v>7.6000000000000026E-4</v>
      </c>
      <c r="N42" s="599">
        <f t="shared" si="11"/>
        <v>0.16850000000000001</v>
      </c>
    </row>
    <row r="43" spans="3:14" x14ac:dyDescent="0.4">
      <c r="C43" s="116" t="s">
        <v>114</v>
      </c>
      <c r="D43" s="142">
        <f>SUM(D39:D42)</f>
        <v>100000</v>
      </c>
      <c r="E43" s="116" t="s">
        <v>188</v>
      </c>
      <c r="F43" s="405">
        <f>'Yr 1 Rate Comp'!F46</f>
        <v>3.7599999999999999E-3</v>
      </c>
      <c r="G43" s="116" t="s">
        <v>240</v>
      </c>
      <c r="I43" s="405">
        <f>'Yr 1 Rate Comp'!L46</f>
        <v>4.3900000000000007E-3</v>
      </c>
      <c r="J43" s="116" t="s">
        <v>240</v>
      </c>
      <c r="L43" s="405">
        <f t="shared" si="10"/>
        <v>6.3000000000000079E-4</v>
      </c>
      <c r="N43" s="599">
        <f t="shared" si="11"/>
        <v>0.1676</v>
      </c>
    </row>
    <row r="44" spans="3:14" x14ac:dyDescent="0.4">
      <c r="D44" s="142"/>
      <c r="F44" s="405"/>
      <c r="I44" s="405"/>
    </row>
    <row r="45" spans="3:14" x14ac:dyDescent="0.4">
      <c r="C45" s="592" t="s">
        <v>339</v>
      </c>
      <c r="D45" s="142"/>
      <c r="F45" s="116"/>
      <c r="I45" s="116"/>
    </row>
    <row r="46" spans="3:14" x14ac:dyDescent="0.4">
      <c r="C46" s="116" t="s">
        <v>51</v>
      </c>
      <c r="D46" s="142">
        <v>60000</v>
      </c>
      <c r="E46" s="116" t="s">
        <v>188</v>
      </c>
      <c r="F46" s="404">
        <f>'Yr 1 Rate Comp'!F49</f>
        <v>397.91</v>
      </c>
      <c r="G46" s="116" t="s">
        <v>241</v>
      </c>
      <c r="I46" s="404">
        <f>'Yr 1 Rate Comp'!L49</f>
        <v>465.54</v>
      </c>
      <c r="J46" s="116" t="s">
        <v>241</v>
      </c>
      <c r="L46" s="404">
        <f>I46-F46</f>
        <v>67.63</v>
      </c>
      <c r="N46" s="599">
        <f>ROUND(L46/F46,4)</f>
        <v>0.17</v>
      </c>
    </row>
    <row r="47" spans="3:14" x14ac:dyDescent="0.4">
      <c r="C47" s="116" t="s">
        <v>52</v>
      </c>
      <c r="D47" s="142">
        <v>40000</v>
      </c>
      <c r="E47" s="116" t="s">
        <v>188</v>
      </c>
      <c r="F47" s="405">
        <f>'Yr 1 Rate Comp'!F50</f>
        <v>4.5100000000000001E-3</v>
      </c>
      <c r="G47" s="116" t="s">
        <v>240</v>
      </c>
      <c r="I47" s="405">
        <f>'Yr 1 Rate Comp'!L50</f>
        <v>5.2700000000000004E-3</v>
      </c>
      <c r="J47" s="116" t="s">
        <v>240</v>
      </c>
      <c r="L47" s="405">
        <f t="shared" ref="L47:L48" si="12">I47-F47</f>
        <v>7.6000000000000026E-4</v>
      </c>
      <c r="N47" s="599">
        <f t="shared" ref="N47:N48" si="13">ROUND(L47/F47,4)</f>
        <v>0.16850000000000001</v>
      </c>
    </row>
    <row r="48" spans="3:14" x14ac:dyDescent="0.4">
      <c r="C48" s="116" t="s">
        <v>114</v>
      </c>
      <c r="D48" s="142">
        <f>SUM(D45:D47)</f>
        <v>100000</v>
      </c>
      <c r="E48" s="116" t="s">
        <v>188</v>
      </c>
      <c r="F48" s="405">
        <f>'Yr 1 Rate Comp'!F51</f>
        <v>3.7599999999999999E-3</v>
      </c>
      <c r="G48" s="116" t="s">
        <v>240</v>
      </c>
      <c r="I48" s="405">
        <f>'Yr 1 Rate Comp'!L51</f>
        <v>4.3900000000000007E-3</v>
      </c>
      <c r="J48" s="116" t="s">
        <v>240</v>
      </c>
      <c r="L48" s="405">
        <f t="shared" si="12"/>
        <v>6.3000000000000079E-4</v>
      </c>
      <c r="N48" s="599">
        <f t="shared" si="13"/>
        <v>0.1676</v>
      </c>
    </row>
    <row r="49" spans="3:14" x14ac:dyDescent="0.4">
      <c r="D49" s="142"/>
      <c r="F49" s="405"/>
      <c r="I49" s="405"/>
    </row>
    <row r="50" spans="3:14" x14ac:dyDescent="0.4">
      <c r="C50" s="592" t="s">
        <v>340</v>
      </c>
      <c r="D50" s="142"/>
      <c r="F50" s="116"/>
      <c r="I50" s="116"/>
    </row>
    <row r="51" spans="3:14" x14ac:dyDescent="0.4">
      <c r="C51" s="116" t="s">
        <v>51</v>
      </c>
      <c r="D51" s="142">
        <v>80000</v>
      </c>
      <c r="E51" s="116" t="s">
        <v>188</v>
      </c>
      <c r="F51" s="404">
        <f>'Yr 1 Rate Comp'!F54</f>
        <v>504.71</v>
      </c>
      <c r="G51" s="116" t="s">
        <v>241</v>
      </c>
      <c r="I51" s="404">
        <f>'Yr 1 Rate Comp'!L54</f>
        <v>590.5</v>
      </c>
      <c r="J51" s="116" t="s">
        <v>241</v>
      </c>
      <c r="L51" s="404">
        <f>I51-F51</f>
        <v>85.79000000000002</v>
      </c>
      <c r="N51" s="599">
        <f>ROUND(L51/F51,4)</f>
        <v>0.17</v>
      </c>
    </row>
    <row r="52" spans="3:14" x14ac:dyDescent="0.4">
      <c r="C52" s="116" t="s">
        <v>52</v>
      </c>
      <c r="D52" s="142">
        <v>20000</v>
      </c>
      <c r="E52" s="116" t="s">
        <v>188</v>
      </c>
      <c r="F52" s="405">
        <f>'Yr 1 Rate Comp'!F55</f>
        <v>4.5100000000000001E-3</v>
      </c>
      <c r="G52" s="116" t="s">
        <v>240</v>
      </c>
      <c r="I52" s="405">
        <f>'Yr 1 Rate Comp'!L55</f>
        <v>5.2700000000000004E-3</v>
      </c>
      <c r="J52" s="116" t="s">
        <v>240</v>
      </c>
      <c r="L52" s="405">
        <f t="shared" ref="L52:L53" si="14">I52-F52</f>
        <v>7.6000000000000026E-4</v>
      </c>
      <c r="N52" s="599">
        <f t="shared" ref="N52:N53" si="15">ROUND(L52/F52,4)</f>
        <v>0.16850000000000001</v>
      </c>
    </row>
    <row r="53" spans="3:14" x14ac:dyDescent="0.4">
      <c r="C53" s="116" t="s">
        <v>114</v>
      </c>
      <c r="D53" s="142">
        <f>SUM(D50:D52)</f>
        <v>100000</v>
      </c>
      <c r="E53" s="116" t="s">
        <v>188</v>
      </c>
      <c r="F53" s="405">
        <f>'Yr 1 Rate Comp'!F56</f>
        <v>3.7599999999999999E-3</v>
      </c>
      <c r="G53" s="116" t="s">
        <v>240</v>
      </c>
      <c r="I53" s="405">
        <f>'Yr 1 Rate Comp'!L56</f>
        <v>4.3900000000000007E-3</v>
      </c>
      <c r="J53" s="116" t="s">
        <v>240</v>
      </c>
      <c r="L53" s="405">
        <f t="shared" si="14"/>
        <v>6.3000000000000079E-4</v>
      </c>
      <c r="N53" s="599">
        <f t="shared" si="15"/>
        <v>0.1676</v>
      </c>
    </row>
    <row r="54" spans="3:14" x14ac:dyDescent="0.4">
      <c r="D54" s="142"/>
      <c r="F54" s="405"/>
      <c r="I54" s="405"/>
    </row>
    <row r="55" spans="3:14" x14ac:dyDescent="0.4">
      <c r="C55" s="592" t="s">
        <v>460</v>
      </c>
      <c r="D55" s="142"/>
      <c r="F55" s="405"/>
      <c r="I55" s="404"/>
    </row>
    <row r="56" spans="3:14" x14ac:dyDescent="0.4">
      <c r="C56" s="588" t="s">
        <v>711</v>
      </c>
      <c r="D56" s="142"/>
      <c r="F56" s="404">
        <f>'Yr 1 Rate Comp'!F59</f>
        <v>17.53</v>
      </c>
      <c r="I56" s="404">
        <f>'Yr 1 Rate Comp'!L59</f>
        <v>20.51</v>
      </c>
      <c r="K56" s="600"/>
      <c r="L56" s="404">
        <f t="shared" ref="L56:L63" si="16">I56-F56</f>
        <v>2.9800000000000004</v>
      </c>
      <c r="N56" s="599">
        <f t="shared" ref="N56:N63" si="17">ROUND(L56/F56,4)</f>
        <v>0.17</v>
      </c>
    </row>
    <row r="57" spans="3:14" x14ac:dyDescent="0.4">
      <c r="C57" s="588" t="s">
        <v>712</v>
      </c>
      <c r="D57" s="142"/>
      <c r="F57" s="404">
        <f>'Yr 1 Rate Comp'!F60</f>
        <v>26.2</v>
      </c>
      <c r="I57" s="404">
        <f>'Yr 1 Rate Comp'!L60</f>
        <v>30.65</v>
      </c>
      <c r="K57" s="600"/>
      <c r="L57" s="404">
        <f t="shared" si="16"/>
        <v>4.4499999999999993</v>
      </c>
      <c r="N57" s="599">
        <f t="shared" si="17"/>
        <v>0.16980000000000001</v>
      </c>
    </row>
    <row r="58" spans="3:14" x14ac:dyDescent="0.4">
      <c r="C58" s="588" t="s">
        <v>355</v>
      </c>
      <c r="D58" s="142"/>
      <c r="F58" s="404">
        <f>'Yr 1 Rate Comp'!F61</f>
        <v>68.05</v>
      </c>
      <c r="I58" s="404">
        <f>'Yr 1 Rate Comp'!L61</f>
        <v>79.62</v>
      </c>
      <c r="K58" s="600"/>
      <c r="L58" s="404">
        <f t="shared" si="16"/>
        <v>11.570000000000007</v>
      </c>
      <c r="N58" s="599">
        <f t="shared" si="17"/>
        <v>0.17</v>
      </c>
    </row>
    <row r="59" spans="3:14" x14ac:dyDescent="0.4">
      <c r="C59" s="588" t="s">
        <v>356</v>
      </c>
      <c r="D59" s="142"/>
      <c r="F59" s="404">
        <f>'Yr 1 Rate Comp'!F62</f>
        <v>147.91999999999999</v>
      </c>
      <c r="I59" s="404">
        <f>'Yr 1 Rate Comp'!L62</f>
        <v>173.07</v>
      </c>
      <c r="K59" s="600"/>
      <c r="L59" s="404">
        <f t="shared" si="16"/>
        <v>25.150000000000006</v>
      </c>
      <c r="N59" s="599">
        <f t="shared" si="17"/>
        <v>0.17</v>
      </c>
    </row>
    <row r="60" spans="3:14" x14ac:dyDescent="0.4">
      <c r="C60" s="588" t="s">
        <v>351</v>
      </c>
      <c r="D60" s="142"/>
      <c r="F60" s="404">
        <f>'Yr 1 Rate Comp'!F63</f>
        <v>340.77</v>
      </c>
      <c r="I60" s="404">
        <f>'Yr 1 Rate Comp'!L63</f>
        <v>398.7</v>
      </c>
      <c r="K60" s="600"/>
      <c r="L60" s="404">
        <f t="shared" si="16"/>
        <v>57.930000000000007</v>
      </c>
      <c r="N60" s="599">
        <f t="shared" si="17"/>
        <v>0.17</v>
      </c>
    </row>
    <row r="61" spans="3:14" x14ac:dyDescent="0.4">
      <c r="C61" s="588" t="s">
        <v>713</v>
      </c>
      <c r="D61" s="142"/>
      <c r="F61" s="404">
        <f>'Yr 1 Rate Comp'!F64</f>
        <v>658.17</v>
      </c>
      <c r="I61" s="404">
        <f>'Yr 1 Rate Comp'!L64</f>
        <v>770.06</v>
      </c>
      <c r="K61" s="600"/>
      <c r="L61" s="404">
        <f t="shared" si="16"/>
        <v>111.88999999999999</v>
      </c>
      <c r="N61" s="599">
        <f t="shared" si="17"/>
        <v>0.17</v>
      </c>
    </row>
    <row r="62" spans="3:14" x14ac:dyDescent="0.4">
      <c r="C62" s="588" t="s">
        <v>714</v>
      </c>
      <c r="D62" s="142"/>
      <c r="F62" s="404">
        <f>'Yr 1 Rate Comp'!F65</f>
        <v>1139.7</v>
      </c>
      <c r="I62" s="404">
        <f>'Yr 1 Rate Comp'!L65</f>
        <v>1333.45</v>
      </c>
      <c r="K62" s="600"/>
      <c r="L62" s="404">
        <f t="shared" si="16"/>
        <v>193.75</v>
      </c>
      <c r="N62" s="599">
        <f t="shared" si="17"/>
        <v>0.17</v>
      </c>
    </row>
    <row r="63" spans="3:14" x14ac:dyDescent="0.4">
      <c r="C63" s="588" t="s">
        <v>715</v>
      </c>
      <c r="F63" s="404">
        <f>'Yr 1 Rate Comp'!F66</f>
        <v>1799.31</v>
      </c>
      <c r="I63" s="404">
        <f>'Yr 1 Rate Comp'!L66</f>
        <v>2105.19</v>
      </c>
      <c r="K63" s="600"/>
      <c r="L63" s="404">
        <f t="shared" si="16"/>
        <v>305.88000000000011</v>
      </c>
      <c r="N63" s="599">
        <f t="shared" si="17"/>
        <v>0.17</v>
      </c>
    </row>
  </sheetData>
  <mergeCells count="5">
    <mergeCell ref="F6:G6"/>
    <mergeCell ref="I5:J5"/>
    <mergeCell ref="I6:J6"/>
    <mergeCell ref="L6:N6"/>
    <mergeCell ref="C3:N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9604-EF32-4BC3-8DDB-0AA4A4516548}">
  <dimension ref="C3:N63"/>
  <sheetViews>
    <sheetView showGridLines="0" workbookViewId="0">
      <selection activeCell="C3" sqref="C3:N63"/>
    </sheetView>
  </sheetViews>
  <sheetFormatPr defaultColWidth="10.77734375" defaultRowHeight="15" x14ac:dyDescent="0.4"/>
  <cols>
    <col min="1" max="1" width="10.77734375" style="116"/>
    <col min="2" max="2" width="1.77734375" style="116" customWidth="1"/>
    <col min="3" max="5" width="10.77734375" style="116"/>
    <col min="6" max="6" width="10.77734375" style="399"/>
    <col min="7" max="7" width="10.77734375" style="116"/>
    <col min="8" max="8" width="1.77734375" style="116" customWidth="1"/>
    <col min="9" max="9" width="10.77734375" style="399"/>
    <col min="10" max="10" width="10.77734375" style="116"/>
    <col min="11" max="11" width="1.77734375" style="116" customWidth="1"/>
    <col min="12" max="12" width="10.77734375" style="116"/>
    <col min="13" max="13" width="1.77734375" style="116" customWidth="1"/>
    <col min="14" max="16384" width="10.77734375" style="116"/>
  </cols>
  <sheetData>
    <row r="3" spans="3:14" x14ac:dyDescent="0.4">
      <c r="C3" s="660" t="s">
        <v>729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</row>
    <row r="5" spans="3:14" x14ac:dyDescent="0.4">
      <c r="F5" s="668" t="s">
        <v>236</v>
      </c>
      <c r="G5" s="668"/>
      <c r="I5" s="668" t="s">
        <v>236</v>
      </c>
      <c r="J5" s="668"/>
    </row>
    <row r="6" spans="3:14" x14ac:dyDescent="0.4">
      <c r="F6" s="657" t="s">
        <v>679</v>
      </c>
      <c r="G6" s="657"/>
      <c r="I6" s="657" t="s">
        <v>680</v>
      </c>
      <c r="J6" s="657"/>
      <c r="L6" s="657" t="s">
        <v>237</v>
      </c>
      <c r="M6" s="657"/>
      <c r="N6" s="657"/>
    </row>
    <row r="7" spans="3:14" x14ac:dyDescent="0.4">
      <c r="C7" s="592" t="s">
        <v>333</v>
      </c>
      <c r="D7" s="142"/>
      <c r="F7" s="403"/>
      <c r="I7" s="403"/>
    </row>
    <row r="8" spans="3:14" x14ac:dyDescent="0.4">
      <c r="C8" s="116" t="s">
        <v>51</v>
      </c>
      <c r="D8" s="142">
        <v>2000</v>
      </c>
      <c r="E8" s="116" t="s">
        <v>188</v>
      </c>
      <c r="F8" s="404">
        <f>'Attachment Ment 3a Year 1'!I8</f>
        <v>23.83</v>
      </c>
      <c r="G8" s="116" t="s">
        <v>241</v>
      </c>
      <c r="I8" s="404">
        <f>'YR 2 Rate Comp'!L11</f>
        <v>27.33</v>
      </c>
      <c r="J8" s="116" t="s">
        <v>241</v>
      </c>
      <c r="L8" s="404">
        <f>I8-F8</f>
        <v>3.5</v>
      </c>
      <c r="N8" s="599">
        <f>ROUND(L8/F8,4)</f>
        <v>0.1469</v>
      </c>
    </row>
    <row r="9" spans="3:14" x14ac:dyDescent="0.4">
      <c r="C9" s="116" t="s">
        <v>52</v>
      </c>
      <c r="D9" s="142">
        <v>4000</v>
      </c>
      <c r="E9" s="116" t="s">
        <v>188</v>
      </c>
      <c r="F9" s="405">
        <f>'Attachment Ment 3a Year 1'!I9</f>
        <v>6.8900000000000003E-3</v>
      </c>
      <c r="G9" s="116" t="s">
        <v>240</v>
      </c>
      <c r="I9" s="405">
        <f>'YR 2 Rate Comp'!L12</f>
        <v>7.9100000000000004E-3</v>
      </c>
      <c r="J9" s="116" t="s">
        <v>240</v>
      </c>
      <c r="L9" s="405">
        <f t="shared" ref="L9:L12" si="0">I9-F9</f>
        <v>1.0200000000000001E-3</v>
      </c>
      <c r="N9" s="599">
        <f t="shared" ref="N9:N12" si="1">ROUND(L9/F9,4)</f>
        <v>0.14799999999999999</v>
      </c>
    </row>
    <row r="10" spans="3:14" x14ac:dyDescent="0.4">
      <c r="C10" s="116" t="s">
        <v>52</v>
      </c>
      <c r="D10" s="142">
        <v>44000</v>
      </c>
      <c r="E10" s="116" t="s">
        <v>188</v>
      </c>
      <c r="F10" s="405">
        <f>'Attachment Ment 3a Year 1'!I10</f>
        <v>6.1200000000000004E-3</v>
      </c>
      <c r="G10" s="116" t="s">
        <v>240</v>
      </c>
      <c r="I10" s="405">
        <f>'YR 2 Rate Comp'!L13</f>
        <v>7.0200000000000002E-3</v>
      </c>
      <c r="J10" s="116" t="s">
        <v>240</v>
      </c>
      <c r="L10" s="405">
        <f t="shared" si="0"/>
        <v>8.9999999999999976E-4</v>
      </c>
      <c r="N10" s="599">
        <f t="shared" si="1"/>
        <v>0.14710000000000001</v>
      </c>
    </row>
    <row r="11" spans="3:14" x14ac:dyDescent="0.4">
      <c r="C11" s="116" t="s">
        <v>52</v>
      </c>
      <c r="D11" s="142">
        <v>50000</v>
      </c>
      <c r="E11" s="116" t="s">
        <v>188</v>
      </c>
      <c r="F11" s="405">
        <f>'Attachment Ment 3a Year 1'!I11</f>
        <v>5.2700000000000004E-3</v>
      </c>
      <c r="G11" s="116" t="s">
        <v>240</v>
      </c>
      <c r="I11" s="405">
        <f>'YR 2 Rate Comp'!L14</f>
        <v>6.0400000000000002E-3</v>
      </c>
      <c r="J11" s="116" t="s">
        <v>240</v>
      </c>
      <c r="L11" s="405">
        <f t="shared" si="0"/>
        <v>7.6999999999999985E-4</v>
      </c>
      <c r="N11" s="599">
        <f t="shared" si="1"/>
        <v>0.14610000000000001</v>
      </c>
    </row>
    <row r="12" spans="3:14" x14ac:dyDescent="0.4">
      <c r="C12" s="116" t="s">
        <v>114</v>
      </c>
      <c r="D12" s="142">
        <f>SUM(D8:D11)</f>
        <v>100000</v>
      </c>
      <c r="E12" s="116" t="s">
        <v>188</v>
      </c>
      <c r="F12" s="405">
        <f>'Attachment Ment 3a Year 1'!I12</f>
        <v>4.3900000000000007E-3</v>
      </c>
      <c r="G12" s="116" t="s">
        <v>240</v>
      </c>
      <c r="I12" s="405">
        <f>'YR 2 Rate Comp'!L15</f>
        <v>5.0300000000000006E-3</v>
      </c>
      <c r="J12" s="116" t="s">
        <v>240</v>
      </c>
      <c r="L12" s="405">
        <f t="shared" si="0"/>
        <v>6.3999999999999994E-4</v>
      </c>
      <c r="N12" s="599">
        <f t="shared" si="1"/>
        <v>0.14580000000000001</v>
      </c>
    </row>
    <row r="13" spans="3:14" x14ac:dyDescent="0.4">
      <c r="D13" s="142"/>
      <c r="F13" s="404"/>
      <c r="I13" s="405"/>
    </row>
    <row r="14" spans="3:14" x14ac:dyDescent="0.4">
      <c r="C14" s="592" t="s">
        <v>334</v>
      </c>
      <c r="D14" s="142"/>
      <c r="F14" s="116"/>
      <c r="I14" s="116"/>
    </row>
    <row r="15" spans="3:14" x14ac:dyDescent="0.4">
      <c r="C15" s="116" t="s">
        <v>51</v>
      </c>
      <c r="D15" s="142">
        <v>5000</v>
      </c>
      <c r="E15" s="116" t="s">
        <v>188</v>
      </c>
      <c r="F15" s="404">
        <f>'Attachment Ment 3a Year 1'!I15</f>
        <v>45.25</v>
      </c>
      <c r="G15" s="116" t="s">
        <v>241</v>
      </c>
      <c r="I15" s="404">
        <f>'YR 2 Rate Comp'!L18</f>
        <v>51.89</v>
      </c>
      <c r="J15" s="116" t="s">
        <v>241</v>
      </c>
      <c r="L15" s="404">
        <f>I15-F15</f>
        <v>6.6400000000000006</v>
      </c>
      <c r="N15" s="599">
        <f>ROUND(L15/F15,4)</f>
        <v>0.1467</v>
      </c>
    </row>
    <row r="16" spans="3:14" x14ac:dyDescent="0.4">
      <c r="C16" s="116" t="s">
        <v>52</v>
      </c>
      <c r="D16" s="142">
        <v>1000</v>
      </c>
      <c r="E16" s="116" t="s">
        <v>188</v>
      </c>
      <c r="F16" s="405">
        <f>'Attachment Ment 3a Year 1'!I16</f>
        <v>6.8900000000000003E-3</v>
      </c>
      <c r="G16" s="116" t="s">
        <v>240</v>
      </c>
      <c r="I16" s="405">
        <f>'YR 2 Rate Comp'!L19</f>
        <v>7.9100000000000004E-3</v>
      </c>
      <c r="J16" s="116" t="s">
        <v>240</v>
      </c>
      <c r="L16" s="405">
        <f t="shared" ref="L16:L19" si="2">I16-F16</f>
        <v>1.0200000000000001E-3</v>
      </c>
      <c r="N16" s="599">
        <f t="shared" ref="N16:N19" si="3">ROUND(L16/F16,4)</f>
        <v>0.14799999999999999</v>
      </c>
    </row>
    <row r="17" spans="3:14" x14ac:dyDescent="0.4">
      <c r="C17" s="116" t="s">
        <v>52</v>
      </c>
      <c r="D17" s="142">
        <v>44000</v>
      </c>
      <c r="E17" s="116" t="s">
        <v>188</v>
      </c>
      <c r="F17" s="405">
        <f>'Attachment Ment 3a Year 1'!I17</f>
        <v>6.1200000000000004E-3</v>
      </c>
      <c r="G17" s="116" t="s">
        <v>240</v>
      </c>
      <c r="I17" s="405">
        <f>'YR 2 Rate Comp'!L20</f>
        <v>7.0200000000000002E-3</v>
      </c>
      <c r="J17" s="116" t="s">
        <v>240</v>
      </c>
      <c r="L17" s="405">
        <f t="shared" si="2"/>
        <v>8.9999999999999976E-4</v>
      </c>
      <c r="N17" s="599">
        <f t="shared" si="3"/>
        <v>0.14710000000000001</v>
      </c>
    </row>
    <row r="18" spans="3:14" x14ac:dyDescent="0.4">
      <c r="C18" s="116" t="s">
        <v>52</v>
      </c>
      <c r="D18" s="142">
        <v>50000</v>
      </c>
      <c r="E18" s="116" t="s">
        <v>188</v>
      </c>
      <c r="F18" s="405">
        <f>'Attachment Ment 3a Year 1'!I18</f>
        <v>5.2700000000000004E-3</v>
      </c>
      <c r="G18" s="116" t="s">
        <v>240</v>
      </c>
      <c r="I18" s="405">
        <f>'YR 2 Rate Comp'!L21</f>
        <v>6.0400000000000002E-3</v>
      </c>
      <c r="J18" s="116" t="s">
        <v>240</v>
      </c>
      <c r="L18" s="405">
        <f t="shared" si="2"/>
        <v>7.6999999999999985E-4</v>
      </c>
      <c r="N18" s="599">
        <f t="shared" si="3"/>
        <v>0.14610000000000001</v>
      </c>
    </row>
    <row r="19" spans="3:14" x14ac:dyDescent="0.4">
      <c r="C19" s="116" t="s">
        <v>114</v>
      </c>
      <c r="D19" s="142">
        <f>SUM(D15:D18)</f>
        <v>100000</v>
      </c>
      <c r="E19" s="116" t="s">
        <v>188</v>
      </c>
      <c r="F19" s="405">
        <f>'Attachment Ment 3a Year 1'!I19</f>
        <v>4.3900000000000007E-3</v>
      </c>
      <c r="G19" s="116" t="s">
        <v>240</v>
      </c>
      <c r="I19" s="405">
        <f>'YR 2 Rate Comp'!L22</f>
        <v>5.0300000000000006E-3</v>
      </c>
      <c r="J19" s="116" t="s">
        <v>240</v>
      </c>
      <c r="L19" s="405">
        <f t="shared" si="2"/>
        <v>6.3999999999999994E-4</v>
      </c>
      <c r="N19" s="599">
        <f t="shared" si="3"/>
        <v>0.14580000000000001</v>
      </c>
    </row>
    <row r="20" spans="3:14" x14ac:dyDescent="0.4">
      <c r="D20" s="142"/>
      <c r="F20" s="405"/>
      <c r="I20" s="405"/>
      <c r="K20" s="552"/>
      <c r="M20" s="552"/>
    </row>
    <row r="21" spans="3:14" x14ac:dyDescent="0.4">
      <c r="C21" s="592" t="s">
        <v>335</v>
      </c>
      <c r="D21" s="142"/>
      <c r="F21" s="405"/>
      <c r="I21" s="405"/>
    </row>
    <row r="22" spans="3:14" x14ac:dyDescent="0.4">
      <c r="C22" s="116" t="s">
        <v>51</v>
      </c>
      <c r="D22" s="142">
        <v>10000</v>
      </c>
      <c r="E22" s="116" t="s">
        <v>188</v>
      </c>
      <c r="F22" s="404">
        <f>'Attachment Ment 3a Year 1'!I22</f>
        <v>80.849999999999994</v>
      </c>
      <c r="G22" s="116" t="s">
        <v>241</v>
      </c>
      <c r="I22" s="404">
        <f>'YR 2 Rate Comp'!L25</f>
        <v>92.71</v>
      </c>
      <c r="J22" s="116" t="s">
        <v>241</v>
      </c>
      <c r="L22" s="404">
        <f>I22-F22</f>
        <v>11.86</v>
      </c>
      <c r="N22" s="599">
        <f>ROUND(L22/F22,4)</f>
        <v>0.1467</v>
      </c>
    </row>
    <row r="23" spans="3:14" x14ac:dyDescent="0.4">
      <c r="C23" s="116" t="s">
        <v>52</v>
      </c>
      <c r="D23" s="142">
        <v>40000</v>
      </c>
      <c r="E23" s="116" t="s">
        <v>188</v>
      </c>
      <c r="F23" s="405">
        <f>'Attachment Ment 3a Year 1'!I23</f>
        <v>6.1200000000000004E-3</v>
      </c>
      <c r="G23" s="116" t="s">
        <v>240</v>
      </c>
      <c r="I23" s="405">
        <f>'YR 2 Rate Comp'!L26</f>
        <v>7.0200000000000002E-3</v>
      </c>
      <c r="J23" s="116" t="s">
        <v>240</v>
      </c>
      <c r="L23" s="405">
        <f t="shared" ref="L23:L25" si="4">I23-F23</f>
        <v>8.9999999999999976E-4</v>
      </c>
      <c r="N23" s="599">
        <f t="shared" ref="N23:N25" si="5">ROUND(L23/F23,4)</f>
        <v>0.14710000000000001</v>
      </c>
    </row>
    <row r="24" spans="3:14" x14ac:dyDescent="0.4">
      <c r="C24" s="116" t="s">
        <v>52</v>
      </c>
      <c r="D24" s="142">
        <v>50000</v>
      </c>
      <c r="E24" s="116" t="s">
        <v>188</v>
      </c>
      <c r="F24" s="405">
        <f>'Attachment Ment 3a Year 1'!I24</f>
        <v>5.2700000000000004E-3</v>
      </c>
      <c r="G24" s="116" t="s">
        <v>240</v>
      </c>
      <c r="I24" s="405">
        <f>'YR 2 Rate Comp'!L27</f>
        <v>6.0400000000000002E-3</v>
      </c>
      <c r="J24" s="116" t="s">
        <v>240</v>
      </c>
      <c r="L24" s="405">
        <f t="shared" si="4"/>
        <v>7.6999999999999985E-4</v>
      </c>
      <c r="N24" s="599">
        <f t="shared" si="5"/>
        <v>0.14610000000000001</v>
      </c>
    </row>
    <row r="25" spans="3:14" x14ac:dyDescent="0.4">
      <c r="C25" s="116" t="s">
        <v>114</v>
      </c>
      <c r="D25" s="142">
        <f>SUM(D21:D24)</f>
        <v>100000</v>
      </c>
      <c r="E25" s="116" t="s">
        <v>188</v>
      </c>
      <c r="F25" s="405">
        <f>'Attachment Ment 3a Year 1'!I25</f>
        <v>4.3900000000000007E-3</v>
      </c>
      <c r="G25" s="116" t="s">
        <v>240</v>
      </c>
      <c r="I25" s="405">
        <f>'YR 2 Rate Comp'!L28</f>
        <v>5.0300000000000006E-3</v>
      </c>
      <c r="J25" s="116" t="s">
        <v>240</v>
      </c>
      <c r="L25" s="405">
        <f t="shared" si="4"/>
        <v>6.3999999999999994E-4</v>
      </c>
      <c r="N25" s="599">
        <f t="shared" si="5"/>
        <v>0.14580000000000001</v>
      </c>
    </row>
    <row r="26" spans="3:14" x14ac:dyDescent="0.4">
      <c r="D26" s="142"/>
      <c r="F26" s="405"/>
      <c r="I26" s="405"/>
    </row>
    <row r="27" spans="3:14" x14ac:dyDescent="0.4">
      <c r="C27" s="592" t="s">
        <v>336</v>
      </c>
      <c r="D27" s="142"/>
      <c r="F27" s="116"/>
      <c r="I27" s="116"/>
    </row>
    <row r="28" spans="3:14" x14ac:dyDescent="0.4">
      <c r="C28" s="116" t="s">
        <v>51</v>
      </c>
      <c r="D28" s="142">
        <v>16000</v>
      </c>
      <c r="E28" s="116" t="s">
        <v>188</v>
      </c>
      <c r="F28" s="404">
        <f>'Attachment Ment 3a Year 1'!I28</f>
        <v>118.66999999999999</v>
      </c>
      <c r="G28" s="116" t="s">
        <v>241</v>
      </c>
      <c r="I28" s="404">
        <f>'YR 2 Rate Comp'!L31</f>
        <v>136.09</v>
      </c>
      <c r="J28" s="116" t="s">
        <v>241</v>
      </c>
      <c r="L28" s="404">
        <f>I28-F28</f>
        <v>17.420000000000016</v>
      </c>
      <c r="N28" s="599">
        <f>ROUND(L28/F28,4)</f>
        <v>0.14680000000000001</v>
      </c>
    </row>
    <row r="29" spans="3:14" x14ac:dyDescent="0.4">
      <c r="C29" s="116" t="s">
        <v>52</v>
      </c>
      <c r="D29" s="142">
        <v>34000</v>
      </c>
      <c r="E29" s="116" t="s">
        <v>188</v>
      </c>
      <c r="F29" s="405">
        <f>'Attachment Ment 3a Year 1'!I29</f>
        <v>6.1200000000000004E-3</v>
      </c>
      <c r="G29" s="116" t="s">
        <v>240</v>
      </c>
      <c r="I29" s="405">
        <f>'YR 2 Rate Comp'!L32</f>
        <v>7.0200000000000002E-3</v>
      </c>
      <c r="J29" s="116" t="s">
        <v>240</v>
      </c>
      <c r="L29" s="405">
        <f t="shared" ref="L29:L31" si="6">I29-F29</f>
        <v>8.9999999999999976E-4</v>
      </c>
      <c r="N29" s="599">
        <f t="shared" ref="N29:N31" si="7">ROUND(L29/F29,4)</f>
        <v>0.14710000000000001</v>
      </c>
    </row>
    <row r="30" spans="3:14" x14ac:dyDescent="0.4">
      <c r="C30" s="116" t="s">
        <v>52</v>
      </c>
      <c r="D30" s="142">
        <v>50000</v>
      </c>
      <c r="E30" s="116" t="s">
        <v>188</v>
      </c>
      <c r="F30" s="405">
        <f>'Attachment Ment 3a Year 1'!I30</f>
        <v>5.2700000000000004E-3</v>
      </c>
      <c r="G30" s="116" t="s">
        <v>240</v>
      </c>
      <c r="I30" s="405">
        <f>'YR 2 Rate Comp'!L33</f>
        <v>6.0400000000000002E-3</v>
      </c>
      <c r="J30" s="116" t="s">
        <v>240</v>
      </c>
      <c r="L30" s="405">
        <f t="shared" si="6"/>
        <v>7.6999999999999985E-4</v>
      </c>
      <c r="N30" s="599">
        <f t="shared" si="7"/>
        <v>0.14610000000000001</v>
      </c>
    </row>
    <row r="31" spans="3:14" x14ac:dyDescent="0.4">
      <c r="C31" s="116" t="s">
        <v>114</v>
      </c>
      <c r="D31" s="142">
        <f>SUM(D27:D30)</f>
        <v>100000</v>
      </c>
      <c r="E31" s="116" t="s">
        <v>188</v>
      </c>
      <c r="F31" s="405">
        <f>'Attachment Ment 3a Year 1'!I31</f>
        <v>4.3900000000000007E-3</v>
      </c>
      <c r="G31" s="116" t="s">
        <v>240</v>
      </c>
      <c r="I31" s="405">
        <f>'YR 2 Rate Comp'!L34</f>
        <v>5.0300000000000006E-3</v>
      </c>
      <c r="J31" s="116" t="s">
        <v>240</v>
      </c>
      <c r="L31" s="405">
        <f t="shared" si="6"/>
        <v>6.3999999999999994E-4</v>
      </c>
      <c r="N31" s="599">
        <f t="shared" si="7"/>
        <v>0.14580000000000001</v>
      </c>
    </row>
    <row r="32" spans="3:14" x14ac:dyDescent="0.4">
      <c r="D32" s="142"/>
      <c r="F32" s="405"/>
      <c r="I32" s="405"/>
    </row>
    <row r="33" spans="3:14" x14ac:dyDescent="0.4">
      <c r="C33" s="592" t="s">
        <v>337</v>
      </c>
      <c r="D33" s="142"/>
      <c r="F33" s="116"/>
      <c r="I33" s="116"/>
    </row>
    <row r="34" spans="3:14" x14ac:dyDescent="0.4">
      <c r="C34" s="116" t="s">
        <v>51</v>
      </c>
      <c r="D34" s="142">
        <v>25000</v>
      </c>
      <c r="E34" s="116" t="s">
        <v>188</v>
      </c>
      <c r="F34" s="404">
        <f>'Attachment Ment 3a Year 1'!I34</f>
        <v>192.65</v>
      </c>
      <c r="G34" s="116" t="s">
        <v>241</v>
      </c>
      <c r="I34" s="404">
        <f>'YR 2 Rate Comp'!L37</f>
        <v>220.93</v>
      </c>
      <c r="J34" s="116" t="s">
        <v>241</v>
      </c>
      <c r="L34" s="404">
        <f>I34-F34</f>
        <v>28.28</v>
      </c>
      <c r="N34" s="599">
        <f>ROUND(L34/F34,4)</f>
        <v>0.14680000000000001</v>
      </c>
    </row>
    <row r="35" spans="3:14" x14ac:dyDescent="0.4">
      <c r="C35" s="116" t="s">
        <v>52</v>
      </c>
      <c r="D35" s="142">
        <v>25000</v>
      </c>
      <c r="E35" s="116" t="s">
        <v>188</v>
      </c>
      <c r="F35" s="405">
        <f>'Attachment Ment 3a Year 1'!I35</f>
        <v>6.1200000000000004E-3</v>
      </c>
      <c r="G35" s="116" t="s">
        <v>240</v>
      </c>
      <c r="I35" s="405">
        <f>'YR 2 Rate Comp'!L38</f>
        <v>7.0200000000000002E-3</v>
      </c>
      <c r="J35" s="116" t="s">
        <v>240</v>
      </c>
      <c r="L35" s="405">
        <f t="shared" ref="L35:L37" si="8">I35-F35</f>
        <v>8.9999999999999976E-4</v>
      </c>
      <c r="N35" s="599">
        <f t="shared" ref="N35:N37" si="9">ROUND(L35/F35,4)</f>
        <v>0.14710000000000001</v>
      </c>
    </row>
    <row r="36" spans="3:14" x14ac:dyDescent="0.4">
      <c r="C36" s="116" t="s">
        <v>52</v>
      </c>
      <c r="D36" s="142">
        <v>50000</v>
      </c>
      <c r="E36" s="116" t="s">
        <v>188</v>
      </c>
      <c r="F36" s="405">
        <f>'Attachment Ment 3a Year 1'!I36</f>
        <v>5.2700000000000004E-3</v>
      </c>
      <c r="G36" s="116" t="s">
        <v>240</v>
      </c>
      <c r="I36" s="405">
        <f>'YR 2 Rate Comp'!L39</f>
        <v>6.0400000000000002E-3</v>
      </c>
      <c r="J36" s="116" t="s">
        <v>240</v>
      </c>
      <c r="L36" s="405">
        <f t="shared" si="8"/>
        <v>7.6999999999999985E-4</v>
      </c>
      <c r="N36" s="599">
        <f t="shared" si="9"/>
        <v>0.14610000000000001</v>
      </c>
    </row>
    <row r="37" spans="3:14" x14ac:dyDescent="0.4">
      <c r="C37" s="116" t="s">
        <v>114</v>
      </c>
      <c r="D37" s="142">
        <f>SUM(D33:D36)</f>
        <v>100000</v>
      </c>
      <c r="E37" s="116" t="s">
        <v>188</v>
      </c>
      <c r="F37" s="405">
        <f>'Attachment Ment 3a Year 1'!I37</f>
        <v>4.3900000000000007E-3</v>
      </c>
      <c r="G37" s="116" t="s">
        <v>240</v>
      </c>
      <c r="I37" s="405">
        <f>'YR 2 Rate Comp'!L40</f>
        <v>5.0300000000000006E-3</v>
      </c>
      <c r="J37" s="116" t="s">
        <v>240</v>
      </c>
      <c r="L37" s="405">
        <f t="shared" si="8"/>
        <v>6.3999999999999994E-4</v>
      </c>
      <c r="N37" s="599">
        <f t="shared" si="9"/>
        <v>0.14580000000000001</v>
      </c>
    </row>
    <row r="38" spans="3:14" x14ac:dyDescent="0.4">
      <c r="D38" s="142"/>
      <c r="F38" s="405"/>
      <c r="I38" s="405"/>
    </row>
    <row r="39" spans="3:14" x14ac:dyDescent="0.4">
      <c r="C39" s="592" t="s">
        <v>338</v>
      </c>
      <c r="D39" s="142"/>
      <c r="F39" s="116"/>
      <c r="I39" s="116"/>
    </row>
    <row r="40" spans="3:14" x14ac:dyDescent="0.4">
      <c r="C40" s="116" t="s">
        <v>51</v>
      </c>
      <c r="D40" s="142">
        <v>30000</v>
      </c>
      <c r="E40" s="116" t="s">
        <v>188</v>
      </c>
      <c r="F40" s="404">
        <f>'Attachment Ment 3a Year 1'!I40</f>
        <v>266.53000000000003</v>
      </c>
      <c r="G40" s="116" t="s">
        <v>241</v>
      </c>
      <c r="I40" s="404">
        <f>'YR 2 Rate Comp'!L43</f>
        <v>305.64</v>
      </c>
      <c r="J40" s="116" t="s">
        <v>241</v>
      </c>
      <c r="L40" s="404">
        <f>I40-F40</f>
        <v>39.109999999999957</v>
      </c>
      <c r="N40" s="599">
        <f>ROUND(L40/F40,4)</f>
        <v>0.1467</v>
      </c>
    </row>
    <row r="41" spans="3:14" x14ac:dyDescent="0.4">
      <c r="C41" s="116" t="s">
        <v>52</v>
      </c>
      <c r="D41" s="142">
        <v>20000</v>
      </c>
      <c r="E41" s="116" t="s">
        <v>188</v>
      </c>
      <c r="F41" s="405">
        <f>'Attachment Ment 3a Year 1'!I41</f>
        <v>6.1200000000000004E-3</v>
      </c>
      <c r="G41" s="116" t="s">
        <v>240</v>
      </c>
      <c r="I41" s="405">
        <f>'YR 2 Rate Comp'!L44</f>
        <v>7.0200000000000002E-3</v>
      </c>
      <c r="J41" s="116" t="s">
        <v>240</v>
      </c>
      <c r="L41" s="405">
        <f t="shared" ref="L41:L43" si="10">I41-F41</f>
        <v>8.9999999999999976E-4</v>
      </c>
      <c r="N41" s="599">
        <f t="shared" ref="N41:N43" si="11">ROUND(L41/F41,4)</f>
        <v>0.14710000000000001</v>
      </c>
    </row>
    <row r="42" spans="3:14" x14ac:dyDescent="0.4">
      <c r="C42" s="116" t="s">
        <v>52</v>
      </c>
      <c r="D42" s="142">
        <v>50000</v>
      </c>
      <c r="E42" s="116" t="s">
        <v>188</v>
      </c>
      <c r="F42" s="405">
        <f>'Attachment Ment 3a Year 1'!I42</f>
        <v>5.2700000000000004E-3</v>
      </c>
      <c r="G42" s="116" t="s">
        <v>240</v>
      </c>
      <c r="I42" s="405">
        <f>'YR 2 Rate Comp'!L45</f>
        <v>6.0400000000000002E-3</v>
      </c>
      <c r="J42" s="116" t="s">
        <v>240</v>
      </c>
      <c r="L42" s="405">
        <f t="shared" si="10"/>
        <v>7.6999999999999985E-4</v>
      </c>
      <c r="N42" s="599">
        <f t="shared" si="11"/>
        <v>0.14610000000000001</v>
      </c>
    </row>
    <row r="43" spans="3:14" x14ac:dyDescent="0.4">
      <c r="C43" s="116" t="s">
        <v>114</v>
      </c>
      <c r="D43" s="142">
        <f>SUM(D39:D42)</f>
        <v>100000</v>
      </c>
      <c r="E43" s="116" t="s">
        <v>188</v>
      </c>
      <c r="F43" s="405">
        <f>'Attachment Ment 3a Year 1'!I43</f>
        <v>4.3900000000000007E-3</v>
      </c>
      <c r="G43" s="116" t="s">
        <v>240</v>
      </c>
      <c r="I43" s="405">
        <f>'YR 2 Rate Comp'!L46</f>
        <v>5.0300000000000006E-3</v>
      </c>
      <c r="J43" s="116" t="s">
        <v>240</v>
      </c>
      <c r="L43" s="405">
        <f t="shared" si="10"/>
        <v>6.3999999999999994E-4</v>
      </c>
      <c r="N43" s="599">
        <f t="shared" si="11"/>
        <v>0.14580000000000001</v>
      </c>
    </row>
    <row r="44" spans="3:14" x14ac:dyDescent="0.4">
      <c r="D44" s="142"/>
      <c r="F44" s="405"/>
      <c r="I44" s="405"/>
    </row>
    <row r="45" spans="3:14" x14ac:dyDescent="0.4">
      <c r="C45" s="592" t="s">
        <v>339</v>
      </c>
      <c r="D45" s="142"/>
      <c r="F45" s="116"/>
      <c r="I45" s="116"/>
    </row>
    <row r="46" spans="3:14" x14ac:dyDescent="0.4">
      <c r="C46" s="116" t="s">
        <v>51</v>
      </c>
      <c r="D46" s="142">
        <v>60000</v>
      </c>
      <c r="E46" s="116" t="s">
        <v>188</v>
      </c>
      <c r="F46" s="404">
        <f>'Attachment Ment 3a Year 1'!I46</f>
        <v>465.54</v>
      </c>
      <c r="G46" s="116" t="s">
        <v>241</v>
      </c>
      <c r="I46" s="404">
        <f>'YR 2 Rate Comp'!L49</f>
        <v>533.87</v>
      </c>
      <c r="J46" s="116" t="s">
        <v>241</v>
      </c>
      <c r="L46" s="404">
        <f>I46-F46</f>
        <v>68.329999999999984</v>
      </c>
      <c r="N46" s="599">
        <f>ROUND(L46/F46,4)</f>
        <v>0.14680000000000001</v>
      </c>
    </row>
    <row r="47" spans="3:14" x14ac:dyDescent="0.4">
      <c r="C47" s="116" t="s">
        <v>52</v>
      </c>
      <c r="D47" s="142">
        <v>40000</v>
      </c>
      <c r="E47" s="116" t="s">
        <v>188</v>
      </c>
      <c r="F47" s="405">
        <f>'Attachment Ment 3a Year 1'!I47</f>
        <v>5.2700000000000004E-3</v>
      </c>
      <c r="G47" s="116" t="s">
        <v>240</v>
      </c>
      <c r="I47" s="405">
        <f>'YR 2 Rate Comp'!L50</f>
        <v>6.0400000000000002E-3</v>
      </c>
      <c r="J47" s="116" t="s">
        <v>240</v>
      </c>
      <c r="L47" s="405">
        <f t="shared" ref="L47:L48" si="12">I47-F47</f>
        <v>7.6999999999999985E-4</v>
      </c>
      <c r="N47" s="599">
        <f t="shared" ref="N47:N48" si="13">ROUND(L47/F47,4)</f>
        <v>0.14610000000000001</v>
      </c>
    </row>
    <row r="48" spans="3:14" x14ac:dyDescent="0.4">
      <c r="C48" s="116" t="s">
        <v>114</v>
      </c>
      <c r="D48" s="142">
        <f>SUM(D45:D47)</f>
        <v>100000</v>
      </c>
      <c r="E48" s="116" t="s">
        <v>188</v>
      </c>
      <c r="F48" s="405">
        <f>'Attachment Ment 3a Year 1'!I48</f>
        <v>4.3900000000000007E-3</v>
      </c>
      <c r="G48" s="116" t="s">
        <v>240</v>
      </c>
      <c r="I48" s="405">
        <f>'YR 2 Rate Comp'!L51</f>
        <v>5.0300000000000006E-3</v>
      </c>
      <c r="J48" s="116" t="s">
        <v>240</v>
      </c>
      <c r="L48" s="405">
        <f t="shared" si="12"/>
        <v>6.3999999999999994E-4</v>
      </c>
      <c r="N48" s="599">
        <f t="shared" si="13"/>
        <v>0.14580000000000001</v>
      </c>
    </row>
    <row r="49" spans="3:14" x14ac:dyDescent="0.4">
      <c r="D49" s="142"/>
      <c r="F49" s="405"/>
      <c r="I49" s="405"/>
    </row>
    <row r="50" spans="3:14" x14ac:dyDescent="0.4">
      <c r="C50" s="592" t="s">
        <v>340</v>
      </c>
      <c r="D50" s="142"/>
      <c r="F50" s="116"/>
      <c r="I50" s="116"/>
    </row>
    <row r="51" spans="3:14" x14ac:dyDescent="0.4">
      <c r="C51" s="116" t="s">
        <v>51</v>
      </c>
      <c r="D51" s="142">
        <v>80000</v>
      </c>
      <c r="E51" s="116" t="s">
        <v>188</v>
      </c>
      <c r="F51" s="404">
        <f>'Attachment Ment 3a Year 1'!I51</f>
        <v>590.5</v>
      </c>
      <c r="G51" s="116" t="s">
        <v>241</v>
      </c>
      <c r="I51" s="404">
        <f>'YR 2 Rate Comp'!L54</f>
        <v>677.16</v>
      </c>
      <c r="J51" s="116" t="s">
        <v>241</v>
      </c>
      <c r="L51" s="404">
        <f>I51-F51</f>
        <v>86.659999999999968</v>
      </c>
      <c r="N51" s="599">
        <f>ROUND(L51/F51,4)</f>
        <v>0.14680000000000001</v>
      </c>
    </row>
    <row r="52" spans="3:14" x14ac:dyDescent="0.4">
      <c r="C52" s="116" t="s">
        <v>52</v>
      </c>
      <c r="D52" s="142">
        <v>20000</v>
      </c>
      <c r="E52" s="116" t="s">
        <v>188</v>
      </c>
      <c r="F52" s="405">
        <f>'Attachment Ment 3a Year 1'!I52</f>
        <v>5.2700000000000004E-3</v>
      </c>
      <c r="G52" s="116" t="s">
        <v>240</v>
      </c>
      <c r="I52" s="405">
        <f>'YR 2 Rate Comp'!L55</f>
        <v>6.0400000000000002E-3</v>
      </c>
      <c r="J52" s="116" t="s">
        <v>240</v>
      </c>
      <c r="L52" s="405">
        <f t="shared" ref="L52:L53" si="14">I52-F52</f>
        <v>7.6999999999999985E-4</v>
      </c>
      <c r="N52" s="599">
        <f t="shared" ref="N52:N53" si="15">ROUND(L52/F52,4)</f>
        <v>0.14610000000000001</v>
      </c>
    </row>
    <row r="53" spans="3:14" x14ac:dyDescent="0.4">
      <c r="C53" s="116" t="s">
        <v>114</v>
      </c>
      <c r="D53" s="142">
        <f>SUM(D50:D52)</f>
        <v>100000</v>
      </c>
      <c r="E53" s="116" t="s">
        <v>188</v>
      </c>
      <c r="F53" s="405">
        <f>'Attachment Ment 3a Year 1'!I53</f>
        <v>4.3900000000000007E-3</v>
      </c>
      <c r="G53" s="116" t="s">
        <v>240</v>
      </c>
      <c r="I53" s="405">
        <f>'YR 2 Rate Comp'!L56</f>
        <v>5.0300000000000006E-3</v>
      </c>
      <c r="J53" s="116" t="s">
        <v>240</v>
      </c>
      <c r="L53" s="405">
        <f t="shared" si="14"/>
        <v>6.3999999999999994E-4</v>
      </c>
      <c r="N53" s="599">
        <f t="shared" si="15"/>
        <v>0.14580000000000001</v>
      </c>
    </row>
    <row r="54" spans="3:14" x14ac:dyDescent="0.4">
      <c r="D54" s="142"/>
      <c r="F54" s="405"/>
      <c r="I54" s="405"/>
    </row>
    <row r="55" spans="3:14" x14ac:dyDescent="0.4">
      <c r="C55" s="592" t="s">
        <v>460</v>
      </c>
      <c r="D55" s="142"/>
      <c r="F55" s="405"/>
      <c r="I55" s="404"/>
    </row>
    <row r="56" spans="3:14" x14ac:dyDescent="0.4">
      <c r="C56" s="588" t="s">
        <v>711</v>
      </c>
      <c r="D56" s="142"/>
      <c r="F56" s="404">
        <f>'Attachment Ment 3a Year 1'!I56</f>
        <v>20.51</v>
      </c>
      <c r="I56" s="404">
        <f>'YR 2 Rate Comp'!L59</f>
        <v>23.525000000000002</v>
      </c>
      <c r="K56" s="600"/>
      <c r="L56" s="404">
        <f t="shared" ref="L56:L63" si="16">I56-F56</f>
        <v>3.0150000000000006</v>
      </c>
      <c r="N56" s="599">
        <f t="shared" ref="N56:N63" si="17">ROUND(L56/F56,4)</f>
        <v>0.14699999999999999</v>
      </c>
    </row>
    <row r="57" spans="3:14" x14ac:dyDescent="0.4">
      <c r="C57" s="588" t="s">
        <v>712</v>
      </c>
      <c r="D57" s="142"/>
      <c r="F57" s="404">
        <f>'Attachment Ment 3a Year 1'!I57</f>
        <v>30.65</v>
      </c>
      <c r="I57" s="404">
        <f>'YR 2 Rate Comp'!L60</f>
        <v>35.155999999999999</v>
      </c>
      <c r="K57" s="600"/>
      <c r="L57" s="404">
        <f t="shared" si="16"/>
        <v>4.5060000000000002</v>
      </c>
      <c r="N57" s="599">
        <f t="shared" si="17"/>
        <v>0.14699999999999999</v>
      </c>
    </row>
    <row r="58" spans="3:14" x14ac:dyDescent="0.4">
      <c r="C58" s="588" t="s">
        <v>355</v>
      </c>
      <c r="D58" s="142"/>
      <c r="F58" s="404">
        <f>'Attachment Ment 3a Year 1'!I58</f>
        <v>79.62</v>
      </c>
      <c r="I58" s="404">
        <f>'YR 2 Rate Comp'!L61</f>
        <v>91.324000000000012</v>
      </c>
      <c r="K58" s="600"/>
      <c r="L58" s="404">
        <f t="shared" si="16"/>
        <v>11.704000000000008</v>
      </c>
      <c r="N58" s="599">
        <f t="shared" si="17"/>
        <v>0.14699999999999999</v>
      </c>
    </row>
    <row r="59" spans="3:14" x14ac:dyDescent="0.4">
      <c r="C59" s="588" t="s">
        <v>356</v>
      </c>
      <c r="D59" s="142"/>
      <c r="F59" s="404">
        <f>'Attachment Ment 3a Year 1'!I59</f>
        <v>173.07</v>
      </c>
      <c r="I59" s="404">
        <f>'YR 2 Rate Comp'!L62</f>
        <v>198.511</v>
      </c>
      <c r="K59" s="600"/>
      <c r="L59" s="404">
        <f t="shared" si="16"/>
        <v>25.441000000000003</v>
      </c>
      <c r="N59" s="599">
        <f t="shared" si="17"/>
        <v>0.14699999999999999</v>
      </c>
    </row>
    <row r="60" spans="3:14" x14ac:dyDescent="0.4">
      <c r="C60" s="588" t="s">
        <v>351</v>
      </c>
      <c r="D60" s="142"/>
      <c r="F60" s="404">
        <f>'Attachment Ment 3a Year 1'!I60</f>
        <v>398.7</v>
      </c>
      <c r="I60" s="404">
        <f>'YR 2 Rate Comp'!L63</f>
        <v>457.30899999999997</v>
      </c>
      <c r="K60" s="600"/>
      <c r="L60" s="404">
        <f t="shared" si="16"/>
        <v>58.60899999999998</v>
      </c>
      <c r="N60" s="599">
        <f t="shared" si="17"/>
        <v>0.14699999999999999</v>
      </c>
    </row>
    <row r="61" spans="3:14" x14ac:dyDescent="0.4">
      <c r="C61" s="588" t="s">
        <v>713</v>
      </c>
      <c r="D61" s="142"/>
      <c r="F61" s="404">
        <f>'Attachment Ment 3a Year 1'!I61</f>
        <v>770.06</v>
      </c>
      <c r="I61" s="404">
        <f>'YR 2 Rate Comp'!L64</f>
        <v>883.2589999999999</v>
      </c>
      <c r="K61" s="600"/>
      <c r="L61" s="404">
        <f t="shared" si="16"/>
        <v>113.19899999999996</v>
      </c>
      <c r="N61" s="599">
        <f t="shared" si="17"/>
        <v>0.14699999999999999</v>
      </c>
    </row>
    <row r="62" spans="3:14" x14ac:dyDescent="0.4">
      <c r="C62" s="588" t="s">
        <v>714</v>
      </c>
      <c r="D62" s="142"/>
      <c r="F62" s="404">
        <f>'Attachment Ment 3a Year 1'!I62</f>
        <v>1333.45</v>
      </c>
      <c r="I62" s="404">
        <f>'YR 2 Rate Comp'!L65</f>
        <v>1529.4670000000001</v>
      </c>
      <c r="K62" s="600"/>
      <c r="L62" s="404">
        <f t="shared" si="16"/>
        <v>196.01700000000005</v>
      </c>
      <c r="N62" s="599">
        <f t="shared" si="17"/>
        <v>0.14699999999999999</v>
      </c>
    </row>
    <row r="63" spans="3:14" x14ac:dyDescent="0.4">
      <c r="C63" s="588" t="s">
        <v>715</v>
      </c>
      <c r="F63" s="404">
        <f>'Attachment Ment 3a Year 1'!I63</f>
        <v>2105.19</v>
      </c>
      <c r="I63" s="404">
        <f>'YR 2 Rate Comp'!L66</f>
        <v>2414.6530000000002</v>
      </c>
      <c r="K63" s="600"/>
      <c r="L63" s="404">
        <f t="shared" si="16"/>
        <v>309.46300000000019</v>
      </c>
      <c r="N63" s="599">
        <f t="shared" si="17"/>
        <v>0.14699999999999999</v>
      </c>
    </row>
  </sheetData>
  <mergeCells count="6">
    <mergeCell ref="C3:N3"/>
    <mergeCell ref="I5:J5"/>
    <mergeCell ref="F6:G6"/>
    <mergeCell ref="I6:J6"/>
    <mergeCell ref="L6:N6"/>
    <mergeCell ref="F5:G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108C-82C8-469D-8AC0-97E7DC4AED6B}">
  <dimension ref="B3:X72"/>
  <sheetViews>
    <sheetView showGridLines="0" topLeftCell="A53" zoomScale="130" zoomScaleNormal="130" workbookViewId="0">
      <selection activeCell="B54" sqref="B54:O72"/>
    </sheetView>
  </sheetViews>
  <sheetFormatPr defaultColWidth="8.88671875" defaultRowHeight="15" x14ac:dyDescent="0.4"/>
  <cols>
    <col min="1" max="1" width="9.6640625" style="116" customWidth="1"/>
    <col min="2" max="2" width="1.109375" style="116" customWidth="1"/>
    <col min="3" max="3" width="4.77734375" style="116" customWidth="1"/>
    <col min="4" max="5" width="10.77734375" style="116" customWidth="1"/>
    <col min="6" max="6" width="11.77734375" style="116" customWidth="1"/>
    <col min="7" max="7" width="1.77734375" style="116" customWidth="1"/>
    <col min="8" max="8" width="10.77734375" style="116" customWidth="1"/>
    <col min="9" max="9" width="1.21875" style="116" customWidth="1"/>
    <col min="10" max="10" width="10.77734375" style="116" customWidth="1"/>
    <col min="11" max="11" width="1.77734375" style="116" customWidth="1"/>
    <col min="12" max="12" width="10.77734375" style="116" customWidth="1"/>
    <col min="13" max="13" width="1.77734375" style="116" customWidth="1"/>
    <col min="14" max="14" width="12.77734375" style="116" customWidth="1"/>
    <col min="15" max="15" width="1.77734375" style="116" customWidth="1"/>
    <col min="16" max="16" width="12.77734375" style="116" customWidth="1"/>
    <col min="17" max="17" width="1.77734375" style="116" customWidth="1"/>
    <col min="18" max="20" width="9.6640625" style="116" customWidth="1"/>
    <col min="21" max="24" width="12.77734375" style="116" customWidth="1"/>
    <col min="25" max="203" width="9.6640625" style="116" customWidth="1"/>
    <col min="204" max="16384" width="8.88671875" style="116"/>
  </cols>
  <sheetData>
    <row r="3" spans="2:24" x14ac:dyDescent="0.4">
      <c r="B3" s="152"/>
      <c r="C3" s="566"/>
      <c r="D3" s="309"/>
      <c r="E3" s="309"/>
      <c r="F3" s="309"/>
      <c r="G3" s="309"/>
      <c r="H3" s="309"/>
      <c r="I3" s="309"/>
      <c r="J3" s="583"/>
      <c r="K3" s="583"/>
      <c r="L3" s="309"/>
      <c r="M3" s="309"/>
      <c r="N3" s="661" t="s">
        <v>237</v>
      </c>
      <c r="O3" s="661"/>
      <c r="P3" s="661"/>
      <c r="Q3" s="401"/>
    </row>
    <row r="4" spans="2:24" x14ac:dyDescent="0.4">
      <c r="B4" s="153"/>
      <c r="C4" s="517" t="s">
        <v>720</v>
      </c>
      <c r="F4" s="657" t="s">
        <v>235</v>
      </c>
      <c r="G4" s="657"/>
      <c r="H4" s="657"/>
      <c r="J4" s="657" t="s">
        <v>236</v>
      </c>
      <c r="K4" s="657"/>
      <c r="L4" s="657"/>
      <c r="N4" s="243" t="s">
        <v>681</v>
      </c>
      <c r="P4" s="243" t="s">
        <v>232</v>
      </c>
      <c r="Q4" s="549"/>
      <c r="S4" s="142">
        <f>F58</f>
        <v>4008</v>
      </c>
    </row>
    <row r="5" spans="2:24" x14ac:dyDescent="0.4">
      <c r="B5" s="153"/>
      <c r="C5" s="579" t="s">
        <v>51</v>
      </c>
      <c r="D5" s="142">
        <v>2000</v>
      </c>
      <c r="E5" s="514" t="s">
        <v>188</v>
      </c>
      <c r="F5" s="550">
        <f>'Yr 1 Rate Comp'!F11</f>
        <v>20.38</v>
      </c>
      <c r="G5" s="550"/>
      <c r="H5" s="116" t="s">
        <v>241</v>
      </c>
      <c r="J5" s="550">
        <f>'Yr 1 Rate Comp'!L11</f>
        <v>23.83</v>
      </c>
      <c r="K5" s="550"/>
      <c r="L5" s="116" t="s">
        <v>241</v>
      </c>
      <c r="N5" s="550">
        <f>J5-F5</f>
        <v>3.4499999999999993</v>
      </c>
      <c r="O5" s="550"/>
      <c r="P5" s="585">
        <f>ROUND(N5/F5,4)</f>
        <v>0.16930000000000001</v>
      </c>
      <c r="Q5" s="549"/>
      <c r="S5" s="142">
        <f>D5</f>
        <v>2000</v>
      </c>
      <c r="U5" s="404">
        <f>F5</f>
        <v>20.38</v>
      </c>
      <c r="V5" s="404">
        <f>J5</f>
        <v>23.83</v>
      </c>
    </row>
    <row r="6" spans="2:24" x14ac:dyDescent="0.4">
      <c r="B6" s="153"/>
      <c r="C6" s="579" t="s">
        <v>52</v>
      </c>
      <c r="D6" s="142">
        <v>4000</v>
      </c>
      <c r="E6" s="514" t="s">
        <v>188</v>
      </c>
      <c r="F6" s="577">
        <f>'Yr 1 Rate Comp'!F12</f>
        <v>5.8999999999999999E-3</v>
      </c>
      <c r="G6" s="551"/>
      <c r="H6" s="116" t="s">
        <v>240</v>
      </c>
      <c r="J6" s="577">
        <f>'Yr 1 Rate Comp'!L12</f>
        <v>6.8900000000000003E-3</v>
      </c>
      <c r="K6" s="551"/>
      <c r="L6" s="116" t="s">
        <v>240</v>
      </c>
      <c r="M6" s="552"/>
      <c r="N6" s="551">
        <f>J6-F6</f>
        <v>9.9000000000000043E-4</v>
      </c>
      <c r="O6" s="550"/>
      <c r="P6" s="585">
        <f t="shared" ref="P6:P9" si="0">ROUND(N6/F6,4)</f>
        <v>0.1678</v>
      </c>
      <c r="Q6" s="549"/>
      <c r="S6" s="553">
        <f>F58-S5</f>
        <v>2008</v>
      </c>
      <c r="U6" s="590">
        <f>S6*F6</f>
        <v>11.847199999999999</v>
      </c>
      <c r="V6" s="116">
        <f>ROUND(S6*J6,2)</f>
        <v>13.84</v>
      </c>
    </row>
    <row r="7" spans="2:24" x14ac:dyDescent="0.4">
      <c r="B7" s="153"/>
      <c r="C7" s="579" t="s">
        <v>52</v>
      </c>
      <c r="D7" s="142">
        <v>44000</v>
      </c>
      <c r="E7" s="514" t="s">
        <v>188</v>
      </c>
      <c r="F7" s="577">
        <f>'Yr 1 Rate Comp'!F13</f>
        <v>5.2399999999999999E-3</v>
      </c>
      <c r="G7" s="551"/>
      <c r="H7" s="116" t="s">
        <v>240</v>
      </c>
      <c r="J7" s="577">
        <f>'Yr 1 Rate Comp'!L13</f>
        <v>6.1200000000000004E-3</v>
      </c>
      <c r="K7" s="551"/>
      <c r="L7" s="116" t="s">
        <v>240</v>
      </c>
      <c r="N7" s="551">
        <f>J7-F7</f>
        <v>8.8000000000000057E-4</v>
      </c>
      <c r="O7" s="550"/>
      <c r="P7" s="585">
        <f t="shared" si="0"/>
        <v>0.16789999999999999</v>
      </c>
      <c r="Q7" s="402"/>
      <c r="U7" s="404">
        <f>SUM(U5:U6)-0.01</f>
        <v>32.217199999999998</v>
      </c>
      <c r="V7" s="404">
        <f>SUM(V5:V6)</f>
        <v>37.67</v>
      </c>
      <c r="W7" s="404">
        <f>V7-U7</f>
        <v>5.4528000000000034</v>
      </c>
      <c r="X7" s="556">
        <f>ROUND(W7/U7,3)</f>
        <v>0.16900000000000001</v>
      </c>
    </row>
    <row r="8" spans="2:24" x14ac:dyDescent="0.4">
      <c r="B8" s="153"/>
      <c r="C8" s="579" t="s">
        <v>52</v>
      </c>
      <c r="D8" s="142">
        <v>50000</v>
      </c>
      <c r="E8" s="514" t="s">
        <v>188</v>
      </c>
      <c r="F8" s="577">
        <f>'Yr 1 Rate Comp'!F14</f>
        <v>4.5100000000000001E-3</v>
      </c>
      <c r="G8" s="551"/>
      <c r="H8" s="116" t="s">
        <v>240</v>
      </c>
      <c r="J8" s="577">
        <f>'Yr 1 Rate Comp'!L14</f>
        <v>5.2700000000000004E-3</v>
      </c>
      <c r="K8" s="551"/>
      <c r="L8" s="116" t="s">
        <v>240</v>
      </c>
      <c r="N8" s="551">
        <f>J8-F8</f>
        <v>7.6000000000000026E-4</v>
      </c>
      <c r="O8" s="550"/>
      <c r="P8" s="585">
        <f t="shared" si="0"/>
        <v>0.16850000000000001</v>
      </c>
      <c r="Q8" s="402"/>
      <c r="X8" s="501"/>
    </row>
    <row r="9" spans="2:24" x14ac:dyDescent="0.4">
      <c r="B9" s="153"/>
      <c r="C9" s="579" t="s">
        <v>114</v>
      </c>
      <c r="D9" s="142">
        <f>SUM(D5:D8)</f>
        <v>100000</v>
      </c>
      <c r="E9" s="514" t="s">
        <v>188</v>
      </c>
      <c r="F9" s="577">
        <f>'Yr 1 Rate Comp'!F15</f>
        <v>3.7599999999999999E-3</v>
      </c>
      <c r="G9" s="551"/>
      <c r="H9" s="116" t="s">
        <v>240</v>
      </c>
      <c r="J9" s="577">
        <f>'Yr 1 Rate Comp'!L15</f>
        <v>4.3900000000000007E-3</v>
      </c>
      <c r="K9" s="551"/>
      <c r="L9" s="116" t="s">
        <v>240</v>
      </c>
      <c r="N9" s="551">
        <f>J9-F9</f>
        <v>6.3000000000000079E-4</v>
      </c>
      <c r="O9" s="550"/>
      <c r="P9" s="585">
        <f t="shared" si="0"/>
        <v>0.1676</v>
      </c>
      <c r="Q9" s="402"/>
      <c r="X9" s="501"/>
    </row>
    <row r="10" spans="2:24" x14ac:dyDescent="0.4">
      <c r="B10" s="153"/>
      <c r="C10" s="517" t="s">
        <v>334</v>
      </c>
      <c r="E10" s="514"/>
      <c r="P10" s="586"/>
      <c r="Q10" s="402"/>
      <c r="X10" s="501"/>
    </row>
    <row r="11" spans="2:24" x14ac:dyDescent="0.4">
      <c r="B11" s="153"/>
      <c r="C11" s="579" t="s">
        <v>51</v>
      </c>
      <c r="D11" s="142">
        <v>5000</v>
      </c>
      <c r="E11" s="514" t="s">
        <v>188</v>
      </c>
      <c r="F11" s="550">
        <f>'Yr 1 Rate Comp'!F18</f>
        <v>38.68</v>
      </c>
      <c r="G11" s="550"/>
      <c r="H11" s="116" t="s">
        <v>241</v>
      </c>
      <c r="J11" s="550">
        <f>'Yr 1 Rate Comp'!L18</f>
        <v>45.25</v>
      </c>
      <c r="K11" s="550"/>
      <c r="L11" s="116" t="s">
        <v>241</v>
      </c>
      <c r="N11" s="550">
        <f>J11-F11</f>
        <v>6.57</v>
      </c>
      <c r="O11" s="550"/>
      <c r="P11" s="585">
        <f t="shared" ref="P11:P15" si="1">ROUND(N11/F11,4)</f>
        <v>0.1699</v>
      </c>
      <c r="Q11" s="402"/>
      <c r="S11" s="142">
        <f>D11</f>
        <v>5000</v>
      </c>
      <c r="U11" s="404">
        <f>F11</f>
        <v>38.68</v>
      </c>
      <c r="V11" s="404">
        <f>J11</f>
        <v>45.25</v>
      </c>
      <c r="X11" s="501"/>
    </row>
    <row r="12" spans="2:24" x14ac:dyDescent="0.4">
      <c r="B12" s="153"/>
      <c r="C12" s="579" t="s">
        <v>52</v>
      </c>
      <c r="D12" s="142">
        <v>1000</v>
      </c>
      <c r="E12" s="514" t="s">
        <v>188</v>
      </c>
      <c r="F12" s="577">
        <f>'Yr 1 Rate Comp'!F19</f>
        <v>5.8999999999999999E-3</v>
      </c>
      <c r="G12" s="551"/>
      <c r="H12" s="116" t="s">
        <v>240</v>
      </c>
      <c r="J12" s="577">
        <f>'Yr 1 Rate Comp'!L19</f>
        <v>6.8900000000000003E-3</v>
      </c>
      <c r="K12" s="551"/>
      <c r="L12" s="116" t="s">
        <v>240</v>
      </c>
      <c r="N12" s="551">
        <f>J12-F12</f>
        <v>9.9000000000000043E-4</v>
      </c>
      <c r="O12" s="550"/>
      <c r="P12" s="585">
        <f t="shared" si="1"/>
        <v>0.1678</v>
      </c>
      <c r="Q12" s="402"/>
      <c r="S12" s="553">
        <f>D12</f>
        <v>1000</v>
      </c>
      <c r="U12" s="116">
        <f>ROUND(S12*F12,2)</f>
        <v>5.9</v>
      </c>
      <c r="V12" s="116">
        <f>ROUND(S12*J12,2)</f>
        <v>6.89</v>
      </c>
      <c r="X12" s="501"/>
    </row>
    <row r="13" spans="2:24" x14ac:dyDescent="0.4">
      <c r="B13" s="153"/>
      <c r="C13" s="579" t="s">
        <v>52</v>
      </c>
      <c r="D13" s="142">
        <v>44000</v>
      </c>
      <c r="E13" s="514" t="s">
        <v>188</v>
      </c>
      <c r="F13" s="577">
        <f>'Yr 1 Rate Comp'!F20</f>
        <v>5.2399999999999999E-3</v>
      </c>
      <c r="G13" s="551"/>
      <c r="H13" s="116" t="s">
        <v>240</v>
      </c>
      <c r="J13" s="577">
        <f>'Yr 1 Rate Comp'!L20</f>
        <v>6.1200000000000004E-3</v>
      </c>
      <c r="K13" s="551"/>
      <c r="L13" s="116" t="s">
        <v>240</v>
      </c>
      <c r="N13" s="551">
        <f>J13-F13</f>
        <v>8.8000000000000057E-4</v>
      </c>
      <c r="O13" s="550"/>
      <c r="P13" s="585">
        <f t="shared" si="1"/>
        <v>0.16789999999999999</v>
      </c>
      <c r="Q13" s="402"/>
      <c r="S13" s="553">
        <f>F59-S11-S12</f>
        <v>15116</v>
      </c>
      <c r="U13" s="116">
        <f>ROUND(S13*F13,2)</f>
        <v>79.209999999999994</v>
      </c>
      <c r="V13" s="116">
        <f>ROUND(S13*J13,2)</f>
        <v>92.51</v>
      </c>
    </row>
    <row r="14" spans="2:24" x14ac:dyDescent="0.4">
      <c r="B14" s="153"/>
      <c r="C14" s="579" t="s">
        <v>52</v>
      </c>
      <c r="D14" s="142">
        <v>50000</v>
      </c>
      <c r="E14" s="514" t="s">
        <v>188</v>
      </c>
      <c r="F14" s="577">
        <f>'Yr 1 Rate Comp'!F21</f>
        <v>4.5100000000000001E-3</v>
      </c>
      <c r="G14" s="551"/>
      <c r="H14" s="116" t="s">
        <v>240</v>
      </c>
      <c r="J14" s="577">
        <f>'Yr 1 Rate Comp'!L21</f>
        <v>5.2700000000000004E-3</v>
      </c>
      <c r="K14" s="551"/>
      <c r="L14" s="116" t="s">
        <v>240</v>
      </c>
      <c r="N14" s="551">
        <f>J14-F14</f>
        <v>7.6000000000000026E-4</v>
      </c>
      <c r="O14" s="550"/>
      <c r="P14" s="585">
        <f t="shared" si="1"/>
        <v>0.16850000000000001</v>
      </c>
      <c r="Q14" s="402"/>
      <c r="U14" s="404">
        <f>SUM(U11:U13)</f>
        <v>123.78999999999999</v>
      </c>
      <c r="V14" s="404">
        <f>SUM(V11:V13)</f>
        <v>144.65</v>
      </c>
      <c r="W14" s="404">
        <f>V14-U14</f>
        <v>20.860000000000014</v>
      </c>
      <c r="X14" s="554">
        <f>ROUND(W14/U14,2)</f>
        <v>0.17</v>
      </c>
    </row>
    <row r="15" spans="2:24" x14ac:dyDescent="0.4">
      <c r="B15" s="153"/>
      <c r="C15" s="579" t="s">
        <v>114</v>
      </c>
      <c r="D15" s="142">
        <f>SUM(D11:D14)</f>
        <v>100000</v>
      </c>
      <c r="E15" s="514" t="s">
        <v>188</v>
      </c>
      <c r="F15" s="577">
        <f>'Yr 1 Rate Comp'!F22</f>
        <v>3.7599999999999999E-3</v>
      </c>
      <c r="G15" s="555"/>
      <c r="H15" s="116" t="s">
        <v>240</v>
      </c>
      <c r="J15" s="577">
        <f>'Yr 1 Rate Comp'!L22</f>
        <v>4.3900000000000007E-3</v>
      </c>
      <c r="L15" s="116" t="s">
        <v>240</v>
      </c>
      <c r="N15" s="551">
        <f>J15-F15</f>
        <v>6.3000000000000079E-4</v>
      </c>
      <c r="O15" s="550"/>
      <c r="P15" s="585">
        <f t="shared" si="1"/>
        <v>0.1676</v>
      </c>
      <c r="Q15" s="402"/>
      <c r="X15" s="501"/>
    </row>
    <row r="16" spans="2:24" x14ac:dyDescent="0.4">
      <c r="B16" s="153"/>
      <c r="C16" s="592" t="s">
        <v>335</v>
      </c>
      <c r="D16" s="142"/>
      <c r="F16" s="405"/>
      <c r="N16" s="555"/>
      <c r="O16" s="555"/>
      <c r="P16" s="587"/>
      <c r="Q16" s="402"/>
      <c r="R16" s="142">
        <f>F60</f>
        <v>213248</v>
      </c>
      <c r="S16" s="142">
        <f>D17</f>
        <v>10000</v>
      </c>
      <c r="U16" s="404">
        <f>F17</f>
        <v>69.11</v>
      </c>
      <c r="V16" s="404">
        <f>J17</f>
        <v>80.849999999999994</v>
      </c>
      <c r="X16" s="501"/>
    </row>
    <row r="17" spans="2:24" x14ac:dyDescent="0.4">
      <c r="B17" s="153"/>
      <c r="C17" s="116" t="s">
        <v>51</v>
      </c>
      <c r="D17" s="142">
        <v>10000</v>
      </c>
      <c r="E17" s="116" t="s">
        <v>188</v>
      </c>
      <c r="F17" s="404">
        <f>'Yr 1 Rate Comp'!F25</f>
        <v>69.11</v>
      </c>
      <c r="G17" s="550"/>
      <c r="H17" s="116" t="s">
        <v>241</v>
      </c>
      <c r="J17" s="550">
        <f>'Yr 1 Rate Comp'!L25</f>
        <v>80.849999999999994</v>
      </c>
      <c r="L17" s="116" t="s">
        <v>241</v>
      </c>
      <c r="N17" s="550">
        <f>J17-F17</f>
        <v>11.739999999999995</v>
      </c>
      <c r="O17" s="550"/>
      <c r="P17" s="585">
        <f t="shared" ref="P17:P20" si="2">ROUND(N17/F17,4)</f>
        <v>0.1699</v>
      </c>
      <c r="Q17" s="402"/>
      <c r="S17" s="553">
        <f>D18</f>
        <v>40000</v>
      </c>
      <c r="U17" s="116">
        <f>ROUND(S17*F18,2)</f>
        <v>209.6</v>
      </c>
      <c r="V17" s="116">
        <f>ROUND(S17*J18,2)</f>
        <v>244.8</v>
      </c>
      <c r="X17" s="501"/>
    </row>
    <row r="18" spans="2:24" x14ac:dyDescent="0.4">
      <c r="B18" s="153"/>
      <c r="C18" s="116" t="s">
        <v>52</v>
      </c>
      <c r="D18" s="142">
        <v>40000</v>
      </c>
      <c r="E18" s="116" t="s">
        <v>188</v>
      </c>
      <c r="F18" s="576">
        <f>'Yr 1 Rate Comp'!F26</f>
        <v>5.2399999999999999E-3</v>
      </c>
      <c r="G18" s="551"/>
      <c r="H18" s="116" t="s">
        <v>240</v>
      </c>
      <c r="J18" s="577">
        <f>'Yr 1 Rate Comp'!L26</f>
        <v>6.1200000000000004E-3</v>
      </c>
      <c r="L18" s="116" t="s">
        <v>240</v>
      </c>
      <c r="N18" s="551">
        <f>J18-F18</f>
        <v>8.8000000000000057E-4</v>
      </c>
      <c r="O18" s="550"/>
      <c r="P18" s="585">
        <f t="shared" si="2"/>
        <v>0.16789999999999999</v>
      </c>
      <c r="Q18" s="402"/>
      <c r="S18" s="553">
        <f>D19</f>
        <v>50000</v>
      </c>
      <c r="U18" s="116">
        <f>ROUND(S18*F19,2)</f>
        <v>225.5</v>
      </c>
      <c r="V18" s="116">
        <f>ROUND(S18*J19,2)</f>
        <v>263.5</v>
      </c>
      <c r="X18" s="501"/>
    </row>
    <row r="19" spans="2:24" x14ac:dyDescent="0.4">
      <c r="B19" s="153"/>
      <c r="C19" s="116" t="s">
        <v>52</v>
      </c>
      <c r="D19" s="142">
        <v>50000</v>
      </c>
      <c r="E19" s="116" t="s">
        <v>188</v>
      </c>
      <c r="F19" s="576">
        <f>'Yr 1 Rate Comp'!F27</f>
        <v>4.5100000000000001E-3</v>
      </c>
      <c r="G19" s="551"/>
      <c r="H19" s="116" t="s">
        <v>240</v>
      </c>
      <c r="J19" s="577">
        <f>'Yr 1 Rate Comp'!L27</f>
        <v>5.2700000000000004E-3</v>
      </c>
      <c r="L19" s="116" t="s">
        <v>240</v>
      </c>
      <c r="N19" s="551">
        <f>J19-F19</f>
        <v>7.6000000000000026E-4</v>
      </c>
      <c r="O19" s="550"/>
      <c r="P19" s="585">
        <f t="shared" si="2"/>
        <v>0.16850000000000001</v>
      </c>
      <c r="Q19" s="402"/>
      <c r="R19" s="142">
        <f>SUM(S16:S19)</f>
        <v>213248</v>
      </c>
      <c r="S19" s="553">
        <f>F60-S16-S17-S18</f>
        <v>113248</v>
      </c>
      <c r="U19" s="116">
        <f>ROUND(S19*F20,2)</f>
        <v>425.81</v>
      </c>
      <c r="V19" s="116">
        <f>ROUND(S19*J20,2)</f>
        <v>497.16</v>
      </c>
    </row>
    <row r="20" spans="2:24" x14ac:dyDescent="0.4">
      <c r="B20" s="153"/>
      <c r="C20" s="116" t="s">
        <v>114</v>
      </c>
      <c r="D20" s="142">
        <f>SUM(D16:D19)</f>
        <v>100000</v>
      </c>
      <c r="E20" s="116" t="s">
        <v>188</v>
      </c>
      <c r="F20" s="576">
        <f>'Yr 1 Rate Comp'!F28</f>
        <v>3.7599999999999999E-3</v>
      </c>
      <c r="G20" s="551"/>
      <c r="H20" s="116" t="s">
        <v>240</v>
      </c>
      <c r="J20" s="577">
        <f>'Yr 1 Rate Comp'!L28</f>
        <v>4.3900000000000007E-3</v>
      </c>
      <c r="L20" s="116" t="s">
        <v>240</v>
      </c>
      <c r="N20" s="551">
        <f>J20-F20</f>
        <v>6.3000000000000079E-4</v>
      </c>
      <c r="O20" s="550"/>
      <c r="P20" s="585">
        <f t="shared" si="2"/>
        <v>0.1676</v>
      </c>
      <c r="Q20" s="402"/>
      <c r="U20" s="404">
        <f>SUM(U16:U19)</f>
        <v>930.02</v>
      </c>
      <c r="V20" s="404">
        <f>SUM(V16:V19)</f>
        <v>1086.31</v>
      </c>
      <c r="W20" s="404">
        <f>V20-U20</f>
        <v>156.28999999999996</v>
      </c>
    </row>
    <row r="21" spans="2:24" x14ac:dyDescent="0.4">
      <c r="B21" s="153"/>
      <c r="C21" s="517" t="s">
        <v>336</v>
      </c>
      <c r="E21" s="514"/>
      <c r="P21" s="586"/>
      <c r="Q21" s="402"/>
      <c r="X21" s="554">
        <f>ROUND(W20/U20,2)</f>
        <v>0.17</v>
      </c>
    </row>
    <row r="22" spans="2:24" x14ac:dyDescent="0.4">
      <c r="B22" s="153"/>
      <c r="C22" s="579" t="s">
        <v>51</v>
      </c>
      <c r="D22" s="142">
        <v>16000</v>
      </c>
      <c r="E22" s="514" t="s">
        <v>188</v>
      </c>
      <c r="F22" s="550">
        <f>'Yr 1 Rate Comp'!F31</f>
        <v>101.44</v>
      </c>
      <c r="G22" s="550"/>
      <c r="H22" s="116" t="s">
        <v>241</v>
      </c>
      <c r="J22" s="550">
        <f>'Yr 1 Rate Comp'!L31</f>
        <v>118.66999999999999</v>
      </c>
      <c r="K22" s="550"/>
      <c r="L22" s="116" t="s">
        <v>241</v>
      </c>
      <c r="N22" s="550">
        <f>J22-F22</f>
        <v>17.22999999999999</v>
      </c>
      <c r="O22" s="550"/>
      <c r="P22" s="585">
        <f t="shared" ref="P22:P25" si="3">ROUND(N22/F22,4)</f>
        <v>0.1699</v>
      </c>
      <c r="Q22" s="402"/>
      <c r="S22" s="142">
        <f>D22</f>
        <v>16000</v>
      </c>
      <c r="U22" s="404">
        <f>F22</f>
        <v>101.44</v>
      </c>
      <c r="V22" s="404">
        <f>J22</f>
        <v>118.66999999999999</v>
      </c>
      <c r="X22" s="501"/>
    </row>
    <row r="23" spans="2:24" x14ac:dyDescent="0.4">
      <c r="B23" s="153"/>
      <c r="C23" s="116" t="s">
        <v>52</v>
      </c>
      <c r="D23" s="142">
        <v>34000</v>
      </c>
      <c r="E23" s="514" t="s">
        <v>188</v>
      </c>
      <c r="F23" s="577">
        <f>'Yr 1 Rate Comp'!F32</f>
        <v>5.2399999999999999E-3</v>
      </c>
      <c r="G23" s="551"/>
      <c r="H23" s="116" t="s">
        <v>240</v>
      </c>
      <c r="J23" s="577">
        <f>'Yr 1 Rate Comp'!L32</f>
        <v>6.1200000000000004E-3</v>
      </c>
      <c r="K23" s="551"/>
      <c r="L23" s="116" t="s">
        <v>240</v>
      </c>
      <c r="N23" s="551">
        <f>J23-F23</f>
        <v>8.8000000000000057E-4</v>
      </c>
      <c r="O23" s="550"/>
      <c r="P23" s="585">
        <f t="shared" si="3"/>
        <v>0.16789999999999999</v>
      </c>
      <c r="Q23" s="402"/>
      <c r="S23" s="553">
        <f>F61-S22</f>
        <v>28390</v>
      </c>
      <c r="U23" s="116">
        <f>ROUND(S23*F23,2)</f>
        <v>148.76</v>
      </c>
      <c r="V23" s="116">
        <f>ROUND(S23*J23,2)</f>
        <v>173.75</v>
      </c>
      <c r="X23" s="501"/>
    </row>
    <row r="24" spans="2:24" x14ac:dyDescent="0.4">
      <c r="B24" s="153"/>
      <c r="C24" s="116" t="s">
        <v>52</v>
      </c>
      <c r="D24" s="142">
        <v>50000</v>
      </c>
      <c r="E24" s="514" t="s">
        <v>188</v>
      </c>
      <c r="F24" s="577">
        <f>'Yr 1 Rate Comp'!F33</f>
        <v>4.5100000000000001E-3</v>
      </c>
      <c r="G24" s="551"/>
      <c r="H24" s="116" t="s">
        <v>240</v>
      </c>
      <c r="J24" s="577">
        <f>'Yr 1 Rate Comp'!L33</f>
        <v>5.2700000000000004E-3</v>
      </c>
      <c r="K24" s="551"/>
      <c r="L24" s="116" t="s">
        <v>240</v>
      </c>
      <c r="N24" s="551">
        <f t="shared" ref="N24:N25" si="4">J24-F24</f>
        <v>7.6000000000000026E-4</v>
      </c>
      <c r="O24" s="550"/>
      <c r="P24" s="585">
        <f t="shared" si="3"/>
        <v>0.16850000000000001</v>
      </c>
      <c r="Q24" s="402"/>
      <c r="U24" s="404">
        <f>SUM(U22:U23)</f>
        <v>250.2</v>
      </c>
      <c r="V24" s="404">
        <f>SUM(V22:V23)</f>
        <v>292.41999999999996</v>
      </c>
      <c r="W24" s="404">
        <f>V24-U24</f>
        <v>42.21999999999997</v>
      </c>
      <c r="X24" s="554">
        <f>ROUND(W24/U24,2)</f>
        <v>0.17</v>
      </c>
    </row>
    <row r="25" spans="2:24" x14ac:dyDescent="0.4">
      <c r="B25" s="153"/>
      <c r="C25" s="116" t="s">
        <v>114</v>
      </c>
      <c r="D25" s="142">
        <f>SUM(D21:D24)</f>
        <v>100000</v>
      </c>
      <c r="E25" s="514" t="s">
        <v>188</v>
      </c>
      <c r="F25" s="577">
        <f>'Yr 1 Rate Comp'!F34</f>
        <v>3.7599999999999999E-3</v>
      </c>
      <c r="G25" s="551"/>
      <c r="H25" s="116" t="s">
        <v>240</v>
      </c>
      <c r="J25" s="577">
        <f>'Yr 1 Rate Comp'!L34</f>
        <v>4.3900000000000007E-3</v>
      </c>
      <c r="K25" s="551"/>
      <c r="L25" s="116" t="s">
        <v>240</v>
      </c>
      <c r="N25" s="551">
        <f t="shared" si="4"/>
        <v>6.3000000000000079E-4</v>
      </c>
      <c r="O25" s="550"/>
      <c r="P25" s="585">
        <f t="shared" si="3"/>
        <v>0.1676</v>
      </c>
      <c r="Q25" s="402"/>
    </row>
    <row r="26" spans="2:24" x14ac:dyDescent="0.4">
      <c r="B26" s="153"/>
      <c r="C26" s="592" t="s">
        <v>337</v>
      </c>
      <c r="D26" s="142"/>
      <c r="P26" s="586"/>
      <c r="Q26" s="402"/>
    </row>
    <row r="27" spans="2:24" x14ac:dyDescent="0.4">
      <c r="B27" s="153"/>
      <c r="C27" s="116" t="s">
        <v>51</v>
      </c>
      <c r="D27" s="142">
        <v>25000</v>
      </c>
      <c r="E27" s="116" t="s">
        <v>188</v>
      </c>
      <c r="F27" s="404">
        <f>'Yr 1 Rate Comp'!F37</f>
        <v>164.67</v>
      </c>
      <c r="H27" s="116" t="s">
        <v>241</v>
      </c>
      <c r="J27" s="404">
        <f>'Yr 1 Rate Comp'!L37</f>
        <v>192.65</v>
      </c>
      <c r="L27" s="116" t="s">
        <v>241</v>
      </c>
      <c r="N27" s="550">
        <f>J27-F27</f>
        <v>27.980000000000018</v>
      </c>
      <c r="O27" s="550"/>
      <c r="P27" s="585">
        <f t="shared" ref="P27:P30" si="5">ROUND(N27/F27,4)</f>
        <v>0.1699</v>
      </c>
      <c r="Q27" s="402"/>
    </row>
    <row r="28" spans="2:24" x14ac:dyDescent="0.4">
      <c r="B28" s="153"/>
      <c r="C28" s="116" t="s">
        <v>52</v>
      </c>
      <c r="D28" s="142">
        <v>25000</v>
      </c>
      <c r="E28" s="116" t="s">
        <v>188</v>
      </c>
      <c r="F28" s="576">
        <f>'Yr 1 Rate Comp'!F38</f>
        <v>5.2399999999999999E-3</v>
      </c>
      <c r="H28" s="116" t="s">
        <v>240</v>
      </c>
      <c r="J28" s="576">
        <f>'Yr 1 Rate Comp'!L38</f>
        <v>6.1200000000000004E-3</v>
      </c>
      <c r="L28" s="116" t="s">
        <v>240</v>
      </c>
      <c r="N28" s="551">
        <f>J28-F28</f>
        <v>8.8000000000000057E-4</v>
      </c>
      <c r="O28" s="550"/>
      <c r="P28" s="585">
        <f t="shared" si="5"/>
        <v>0.16789999999999999</v>
      </c>
      <c r="Q28" s="402"/>
    </row>
    <row r="29" spans="2:24" x14ac:dyDescent="0.4">
      <c r="B29" s="153"/>
      <c r="C29" s="116" t="s">
        <v>52</v>
      </c>
      <c r="D29" s="142">
        <v>50000</v>
      </c>
      <c r="E29" s="116" t="s">
        <v>188</v>
      </c>
      <c r="F29" s="576">
        <f>'Yr 1 Rate Comp'!F39</f>
        <v>4.5100000000000001E-3</v>
      </c>
      <c r="H29" s="116" t="s">
        <v>240</v>
      </c>
      <c r="J29" s="576">
        <f>'Yr 1 Rate Comp'!L39</f>
        <v>5.2700000000000004E-3</v>
      </c>
      <c r="L29" s="116" t="s">
        <v>240</v>
      </c>
      <c r="N29" s="551">
        <f t="shared" ref="N29:N30" si="6">J29-F29</f>
        <v>7.6000000000000026E-4</v>
      </c>
      <c r="O29" s="550"/>
      <c r="P29" s="585">
        <f t="shared" si="5"/>
        <v>0.16850000000000001</v>
      </c>
      <c r="Q29" s="402"/>
    </row>
    <row r="30" spans="2:24" x14ac:dyDescent="0.4">
      <c r="B30" s="153"/>
      <c r="C30" s="116" t="s">
        <v>114</v>
      </c>
      <c r="D30" s="142">
        <f>SUM(D26:D29)</f>
        <v>100000</v>
      </c>
      <c r="E30" s="116" t="s">
        <v>188</v>
      </c>
      <c r="F30" s="576">
        <f>'Yr 1 Rate Comp'!F40</f>
        <v>3.7599999999999999E-3</v>
      </c>
      <c r="H30" s="116" t="s">
        <v>240</v>
      </c>
      <c r="J30" s="576">
        <f>'Yr 1 Rate Comp'!L40</f>
        <v>4.3900000000000007E-3</v>
      </c>
      <c r="L30" s="116" t="s">
        <v>240</v>
      </c>
      <c r="N30" s="551">
        <f t="shared" si="6"/>
        <v>6.3000000000000079E-4</v>
      </c>
      <c r="O30" s="550"/>
      <c r="P30" s="585">
        <f t="shared" si="5"/>
        <v>0.1676</v>
      </c>
      <c r="Q30" s="402"/>
    </row>
    <row r="31" spans="2:24" x14ac:dyDescent="0.4">
      <c r="B31" s="153"/>
      <c r="C31" s="592" t="s">
        <v>338</v>
      </c>
      <c r="D31" s="142"/>
      <c r="P31" s="586"/>
      <c r="Q31" s="402"/>
    </row>
    <row r="32" spans="2:24" x14ac:dyDescent="0.4">
      <c r="B32" s="153"/>
      <c r="C32" s="116" t="s">
        <v>51</v>
      </c>
      <c r="D32" s="142">
        <v>30000</v>
      </c>
      <c r="E32" s="514" t="s">
        <v>188</v>
      </c>
      <c r="F32" s="550">
        <f>'Yr 1 Rate Comp'!F43</f>
        <v>227.81</v>
      </c>
      <c r="G32" s="550"/>
      <c r="H32" s="116" t="s">
        <v>241</v>
      </c>
      <c r="J32" s="550">
        <f>'Yr 1 Rate Comp'!L43</f>
        <v>266.53000000000003</v>
      </c>
      <c r="K32" s="550"/>
      <c r="L32" s="116" t="s">
        <v>241</v>
      </c>
      <c r="N32" s="550">
        <f>J32-F32</f>
        <v>38.720000000000027</v>
      </c>
      <c r="O32" s="550"/>
      <c r="P32" s="585">
        <f t="shared" ref="P32:P35" si="7">ROUND(N32/F32,4)</f>
        <v>0.17</v>
      </c>
      <c r="Q32" s="402"/>
      <c r="S32" s="142">
        <f>D32</f>
        <v>30000</v>
      </c>
      <c r="U32" s="404">
        <f>F32</f>
        <v>227.81</v>
      </c>
      <c r="V32" s="404">
        <f>J32</f>
        <v>266.53000000000003</v>
      </c>
      <c r="X32" s="501"/>
    </row>
    <row r="33" spans="2:24" x14ac:dyDescent="0.4">
      <c r="B33" s="153"/>
      <c r="C33" s="116" t="s">
        <v>52</v>
      </c>
      <c r="D33" s="142">
        <v>20000</v>
      </c>
      <c r="E33" s="514" t="s">
        <v>188</v>
      </c>
      <c r="F33" s="577">
        <f>'Yr 1 Rate Comp'!F44</f>
        <v>5.2399999999999999E-3</v>
      </c>
      <c r="G33" s="551"/>
      <c r="H33" s="116" t="s">
        <v>240</v>
      </c>
      <c r="J33" s="577">
        <f>'Yr 1 Rate Comp'!L44</f>
        <v>6.1200000000000004E-3</v>
      </c>
      <c r="K33" s="551"/>
      <c r="L33" s="116" t="s">
        <v>240</v>
      </c>
      <c r="N33" s="551">
        <f>J33-F33</f>
        <v>8.8000000000000057E-4</v>
      </c>
      <c r="O33" s="550"/>
      <c r="P33" s="585">
        <f t="shared" si="7"/>
        <v>0.16789999999999999</v>
      </c>
      <c r="Q33" s="402"/>
      <c r="S33" s="142">
        <f>D33</f>
        <v>20000</v>
      </c>
      <c r="U33" s="116">
        <f>ROUND(S33*F33,2)</f>
        <v>104.8</v>
      </c>
      <c r="V33" s="116">
        <f>ROUND(S33*J33,2)</f>
        <v>122.4</v>
      </c>
      <c r="X33" s="501"/>
    </row>
    <row r="34" spans="2:24" x14ac:dyDescent="0.4">
      <c r="B34" s="153"/>
      <c r="C34" s="116" t="s">
        <v>52</v>
      </c>
      <c r="D34" s="142">
        <v>50000</v>
      </c>
      <c r="E34" s="514" t="s">
        <v>188</v>
      </c>
      <c r="F34" s="577">
        <f>'Yr 1 Rate Comp'!F45</f>
        <v>4.5100000000000001E-3</v>
      </c>
      <c r="G34" s="551"/>
      <c r="H34" s="116" t="s">
        <v>240</v>
      </c>
      <c r="J34" s="577">
        <f>'Yr 1 Rate Comp'!L45</f>
        <v>5.2700000000000004E-3</v>
      </c>
      <c r="K34" s="551"/>
      <c r="L34" s="116" t="s">
        <v>240</v>
      </c>
      <c r="N34" s="551">
        <f t="shared" ref="N34:N35" si="8">J34-F34</f>
        <v>7.6000000000000026E-4</v>
      </c>
      <c r="O34" s="550"/>
      <c r="P34" s="585">
        <f t="shared" si="7"/>
        <v>0.16850000000000001</v>
      </c>
      <c r="Q34" s="402"/>
      <c r="S34" s="142">
        <f>F62-S32-S33</f>
        <v>30347</v>
      </c>
      <c r="U34" s="116">
        <f>ROUND(S34*F34,2)</f>
        <v>136.86000000000001</v>
      </c>
      <c r="V34" s="116">
        <f>ROUND(S34*J34,2)</f>
        <v>159.93</v>
      </c>
    </row>
    <row r="35" spans="2:24" x14ac:dyDescent="0.4">
      <c r="B35" s="153"/>
      <c r="C35" s="116" t="s">
        <v>114</v>
      </c>
      <c r="D35" s="142">
        <f>SUM(D31:D34)</f>
        <v>100000</v>
      </c>
      <c r="E35" s="514" t="s">
        <v>188</v>
      </c>
      <c r="F35" s="577">
        <f>'Yr 1 Rate Comp'!F46</f>
        <v>3.7599999999999999E-3</v>
      </c>
      <c r="G35" s="551"/>
      <c r="H35" s="116" t="s">
        <v>240</v>
      </c>
      <c r="J35" s="577">
        <f>'Yr 1 Rate Comp'!L46</f>
        <v>4.3900000000000007E-3</v>
      </c>
      <c r="K35" s="551"/>
      <c r="L35" s="116" t="s">
        <v>240</v>
      </c>
      <c r="N35" s="551">
        <f t="shared" si="8"/>
        <v>6.3000000000000079E-4</v>
      </c>
      <c r="O35" s="550"/>
      <c r="P35" s="585">
        <f t="shared" si="7"/>
        <v>0.1676</v>
      </c>
      <c r="Q35" s="402"/>
      <c r="U35" s="404">
        <f>SUM(U32:U34)</f>
        <v>469.47</v>
      </c>
      <c r="V35" s="404">
        <f>SUM(V32:V34)</f>
        <v>548.86000000000013</v>
      </c>
      <c r="W35" s="404">
        <f>V35-U35</f>
        <v>79.3900000000001</v>
      </c>
      <c r="X35" s="554">
        <f>ROUND(W35/U35,2)</f>
        <v>0.17</v>
      </c>
    </row>
    <row r="36" spans="2:24" ht="15.75" x14ac:dyDescent="0.5">
      <c r="B36" s="153"/>
      <c r="C36" s="592" t="s">
        <v>339</v>
      </c>
      <c r="D36" s="142"/>
      <c r="H36" s="14"/>
      <c r="J36" s="142"/>
      <c r="N36" s="551"/>
      <c r="O36" s="551"/>
      <c r="P36" s="587"/>
      <c r="Q36" s="402"/>
      <c r="X36" s="501"/>
    </row>
    <row r="37" spans="2:24" x14ac:dyDescent="0.4">
      <c r="B37" s="153"/>
      <c r="C37" s="116" t="s">
        <v>51</v>
      </c>
      <c r="D37" s="142">
        <v>60000</v>
      </c>
      <c r="E37" s="116" t="s">
        <v>188</v>
      </c>
      <c r="F37" s="404">
        <v>397.91</v>
      </c>
      <c r="H37" s="116" t="s">
        <v>241</v>
      </c>
      <c r="J37" s="550">
        <f>'Yr 1 Rate Comp'!L49</f>
        <v>465.54</v>
      </c>
      <c r="L37" s="116" t="s">
        <v>241</v>
      </c>
      <c r="N37" s="550">
        <f>J37-F37</f>
        <v>67.63</v>
      </c>
      <c r="O37" s="550"/>
      <c r="P37" s="585">
        <f t="shared" ref="P37:P39" si="9">ROUND(N37/F37,4)</f>
        <v>0.17</v>
      </c>
      <c r="Q37" s="402"/>
      <c r="S37" s="142">
        <f>F63</f>
        <v>39917</v>
      </c>
      <c r="X37" s="501"/>
    </row>
    <row r="38" spans="2:24" x14ac:dyDescent="0.4">
      <c r="B38" s="153"/>
      <c r="C38" s="116" t="s">
        <v>52</v>
      </c>
      <c r="D38" s="142">
        <v>40000</v>
      </c>
      <c r="E38" s="116" t="s">
        <v>188</v>
      </c>
      <c r="F38" s="576">
        <f>'Yr 1 Rate Comp'!F50</f>
        <v>4.5100000000000001E-3</v>
      </c>
      <c r="H38" s="116" t="s">
        <v>240</v>
      </c>
      <c r="J38" s="577">
        <f>'Yr 1 Rate Comp'!L50</f>
        <v>5.2700000000000004E-3</v>
      </c>
      <c r="L38" s="116" t="s">
        <v>240</v>
      </c>
      <c r="N38" s="551">
        <f>J38-F38</f>
        <v>7.6000000000000026E-4</v>
      </c>
      <c r="O38" s="550"/>
      <c r="P38" s="585">
        <f t="shared" si="9"/>
        <v>0.16850000000000001</v>
      </c>
      <c r="Q38" s="402"/>
      <c r="X38" s="501"/>
    </row>
    <row r="39" spans="2:24" x14ac:dyDescent="0.4">
      <c r="B39" s="153"/>
      <c r="C39" s="116" t="s">
        <v>114</v>
      </c>
      <c r="D39" s="142">
        <f>SUM(D36:D38)</f>
        <v>100000</v>
      </c>
      <c r="E39" s="116" t="s">
        <v>188</v>
      </c>
      <c r="F39" s="576">
        <f>'Yr 1 Rate Comp'!F51</f>
        <v>3.7599999999999999E-3</v>
      </c>
      <c r="H39" s="116" t="s">
        <v>240</v>
      </c>
      <c r="J39" s="577">
        <f>'Yr 1 Rate Comp'!L51</f>
        <v>4.3900000000000007E-3</v>
      </c>
      <c r="L39" s="116" t="s">
        <v>240</v>
      </c>
      <c r="N39" s="551">
        <f t="shared" ref="N39" si="10">J39-F39</f>
        <v>6.3000000000000079E-4</v>
      </c>
      <c r="O39" s="550"/>
      <c r="P39" s="585">
        <f t="shared" si="9"/>
        <v>0.1676</v>
      </c>
      <c r="Q39" s="402"/>
      <c r="X39" s="501"/>
    </row>
    <row r="40" spans="2:24" x14ac:dyDescent="0.4">
      <c r="B40" s="153"/>
      <c r="C40" s="517" t="s">
        <v>710</v>
      </c>
      <c r="E40" s="514"/>
      <c r="F40" s="551"/>
      <c r="G40" s="551"/>
      <c r="N40" s="551"/>
      <c r="O40" s="551"/>
      <c r="P40" s="587"/>
      <c r="Q40" s="402"/>
      <c r="X40" s="501"/>
    </row>
    <row r="41" spans="2:24" x14ac:dyDescent="0.4">
      <c r="B41" s="153"/>
      <c r="C41" s="116" t="s">
        <v>51</v>
      </c>
      <c r="D41" s="142">
        <v>80000</v>
      </c>
      <c r="E41" s="116" t="s">
        <v>188</v>
      </c>
      <c r="F41" s="404">
        <f>'Yr 1 Rate Comp'!F54</f>
        <v>504.71</v>
      </c>
      <c r="G41" s="551"/>
      <c r="H41" s="116" t="s">
        <v>241</v>
      </c>
      <c r="J41" s="550">
        <f>'Yr 1 Rate Comp'!L54</f>
        <v>590.5</v>
      </c>
      <c r="L41" s="116" t="s">
        <v>241</v>
      </c>
      <c r="N41" s="550">
        <f>J41-F41</f>
        <v>85.79000000000002</v>
      </c>
      <c r="O41" s="550"/>
      <c r="P41" s="585">
        <f t="shared" ref="P41:P43" si="11">ROUND(N41/F41,4)</f>
        <v>0.17</v>
      </c>
      <c r="Q41" s="402"/>
      <c r="X41" s="501"/>
    </row>
    <row r="42" spans="2:24" x14ac:dyDescent="0.4">
      <c r="B42" s="153"/>
      <c r="C42" s="116" t="s">
        <v>52</v>
      </c>
      <c r="D42" s="142">
        <v>20000</v>
      </c>
      <c r="E42" s="116" t="s">
        <v>188</v>
      </c>
      <c r="F42" s="576">
        <f>'Yr 1 Rate Comp'!F55</f>
        <v>4.5100000000000001E-3</v>
      </c>
      <c r="G42" s="551"/>
      <c r="H42" s="116" t="s">
        <v>240</v>
      </c>
      <c r="J42" s="577">
        <f>'Yr 1 Rate Comp'!L55</f>
        <v>5.2700000000000004E-3</v>
      </c>
      <c r="L42" s="116" t="s">
        <v>240</v>
      </c>
      <c r="N42" s="551">
        <f>J42-F42</f>
        <v>7.6000000000000026E-4</v>
      </c>
      <c r="O42" s="550"/>
      <c r="P42" s="585">
        <f t="shared" si="11"/>
        <v>0.16850000000000001</v>
      </c>
      <c r="Q42" s="402"/>
      <c r="X42" s="501"/>
    </row>
    <row r="43" spans="2:24" x14ac:dyDescent="0.4">
      <c r="B43" s="153"/>
      <c r="C43" s="116" t="s">
        <v>114</v>
      </c>
      <c r="D43" s="142">
        <f>SUM(D40:D42)</f>
        <v>100000</v>
      </c>
      <c r="E43" s="116" t="s">
        <v>188</v>
      </c>
      <c r="F43" s="576">
        <f>'Yr 1 Rate Comp'!F56</f>
        <v>3.7599999999999999E-3</v>
      </c>
      <c r="G43" s="550"/>
      <c r="H43" s="116" t="s">
        <v>240</v>
      </c>
      <c r="J43" s="577">
        <f>'Yr 1 Rate Comp'!L56</f>
        <v>4.3900000000000007E-3</v>
      </c>
      <c r="L43" s="116" t="s">
        <v>240</v>
      </c>
      <c r="N43" s="551">
        <f t="shared" ref="N43" si="12">J43-F43</f>
        <v>6.3000000000000079E-4</v>
      </c>
      <c r="O43" s="550"/>
      <c r="P43" s="585">
        <f t="shared" si="11"/>
        <v>0.1676</v>
      </c>
      <c r="Q43" s="402"/>
      <c r="S43" s="142">
        <f>F63</f>
        <v>39917</v>
      </c>
      <c r="U43" s="404">
        <f>F43</f>
        <v>3.7599999999999999E-3</v>
      </c>
      <c r="V43" s="404">
        <f>J43</f>
        <v>4.3900000000000007E-3</v>
      </c>
      <c r="X43" s="501"/>
    </row>
    <row r="44" spans="2:24" x14ac:dyDescent="0.4">
      <c r="B44" s="153"/>
      <c r="C44" s="592" t="s">
        <v>460</v>
      </c>
      <c r="F44" s="551"/>
      <c r="G44" s="551"/>
      <c r="N44" s="551"/>
      <c r="O44" s="551"/>
      <c r="P44" s="587"/>
      <c r="Q44" s="402"/>
      <c r="X44" s="501"/>
    </row>
    <row r="45" spans="2:24" x14ac:dyDescent="0.4">
      <c r="B45" s="153"/>
      <c r="C45" s="588" t="s">
        <v>716</v>
      </c>
      <c r="F45" s="404">
        <f>'Yr 1 Rate Comp'!F59</f>
        <v>17.53</v>
      </c>
      <c r="G45" s="551"/>
      <c r="J45" s="404">
        <f>'Yr 1 Rate Comp'!L59</f>
        <v>20.51</v>
      </c>
      <c r="N45" s="551">
        <f t="shared" ref="N45:N49" si="13">J45-F45</f>
        <v>2.9800000000000004</v>
      </c>
      <c r="O45" s="550"/>
      <c r="P45" s="585">
        <f t="shared" ref="P45:P52" si="14">ROUND(N45/F45,4)</f>
        <v>0.17</v>
      </c>
      <c r="Q45" s="402"/>
      <c r="X45" s="501"/>
    </row>
    <row r="46" spans="2:24" x14ac:dyDescent="0.4">
      <c r="B46" s="153"/>
      <c r="C46" s="588" t="s">
        <v>717</v>
      </c>
      <c r="F46" s="404">
        <f>'Yr 1 Rate Comp'!F60</f>
        <v>26.2</v>
      </c>
      <c r="G46" s="551"/>
      <c r="J46" s="404">
        <f>'Yr 1 Rate Comp'!L60</f>
        <v>30.65</v>
      </c>
      <c r="N46" s="551">
        <f t="shared" si="13"/>
        <v>4.4499999999999993</v>
      </c>
      <c r="O46" s="550"/>
      <c r="P46" s="585">
        <f t="shared" si="14"/>
        <v>0.16980000000000001</v>
      </c>
      <c r="Q46" s="402"/>
      <c r="X46" s="501"/>
    </row>
    <row r="47" spans="2:24" x14ac:dyDescent="0.4">
      <c r="B47" s="153"/>
      <c r="C47" s="588" t="s">
        <v>357</v>
      </c>
      <c r="F47" s="404">
        <f>'Yr 1 Rate Comp'!F61</f>
        <v>68.05</v>
      </c>
      <c r="G47" s="551"/>
      <c r="J47" s="404">
        <f>'Yr 1 Rate Comp'!L61</f>
        <v>79.62</v>
      </c>
      <c r="N47" s="551">
        <f t="shared" si="13"/>
        <v>11.570000000000007</v>
      </c>
      <c r="O47" s="550"/>
      <c r="P47" s="585">
        <f t="shared" si="14"/>
        <v>0.17</v>
      </c>
      <c r="Q47" s="402"/>
      <c r="X47" s="501"/>
    </row>
    <row r="48" spans="2:24" x14ac:dyDescent="0.4">
      <c r="B48" s="153"/>
      <c r="C48" s="588" t="s">
        <v>345</v>
      </c>
      <c r="F48" s="404">
        <f>'Yr 1 Rate Comp'!F62</f>
        <v>147.91999999999999</v>
      </c>
      <c r="G48" s="551"/>
      <c r="J48" s="404">
        <f>'Yr 1 Rate Comp'!L62</f>
        <v>173.07</v>
      </c>
      <c r="N48" s="551">
        <f t="shared" si="13"/>
        <v>25.150000000000006</v>
      </c>
      <c r="O48" s="550"/>
      <c r="P48" s="585">
        <f t="shared" si="14"/>
        <v>0.17</v>
      </c>
      <c r="Q48" s="402"/>
      <c r="X48" s="501"/>
    </row>
    <row r="49" spans="2:24" x14ac:dyDescent="0.4">
      <c r="B49" s="153"/>
      <c r="C49" s="588" t="s">
        <v>346</v>
      </c>
      <c r="F49" s="404">
        <f>'Yr 1 Rate Comp'!F63</f>
        <v>340.77</v>
      </c>
      <c r="G49" s="551"/>
      <c r="J49" s="404">
        <f>'Yr 1 Rate Comp'!L63</f>
        <v>398.7</v>
      </c>
      <c r="N49" s="551">
        <f t="shared" si="13"/>
        <v>57.930000000000007</v>
      </c>
      <c r="O49" s="550"/>
      <c r="P49" s="585">
        <f t="shared" si="14"/>
        <v>0.17</v>
      </c>
      <c r="Q49" s="402"/>
      <c r="X49" s="501"/>
    </row>
    <row r="50" spans="2:24" x14ac:dyDescent="0.4">
      <c r="B50" s="153"/>
      <c r="C50" s="588" t="s">
        <v>710</v>
      </c>
      <c r="D50" s="578"/>
      <c r="E50" s="578"/>
      <c r="F50" s="404">
        <f>'Yr 1 Rate Comp'!F64</f>
        <v>658.17</v>
      </c>
      <c r="G50" s="551"/>
      <c r="J50" s="404">
        <f>'Yr 1 Rate Comp'!L64</f>
        <v>770.06</v>
      </c>
      <c r="K50" s="551"/>
      <c r="N50" s="551">
        <f>J50-F50</f>
        <v>111.88999999999999</v>
      </c>
      <c r="O50" s="550"/>
      <c r="P50" s="585">
        <f t="shared" si="14"/>
        <v>0.17</v>
      </c>
      <c r="Q50" s="402"/>
      <c r="S50" s="142">
        <f>F64</f>
        <v>0</v>
      </c>
      <c r="U50" s="404">
        <f>ROUND(S50*F50,2)</f>
        <v>0</v>
      </c>
      <c r="V50" s="404">
        <f>ROUND(S50*J50,2)</f>
        <v>0</v>
      </c>
      <c r="W50" s="404">
        <f>V50-U50</f>
        <v>0</v>
      </c>
      <c r="X50" s="554" t="e">
        <f>ROUND(W50/U50,2)</f>
        <v>#DIV/0!</v>
      </c>
    </row>
    <row r="51" spans="2:24" x14ac:dyDescent="0.4">
      <c r="B51" s="153"/>
      <c r="C51" s="588" t="s">
        <v>718</v>
      </c>
      <c r="F51" s="404">
        <f>'Yr 1 Rate Comp'!F65</f>
        <v>1139.7</v>
      </c>
      <c r="J51" s="404">
        <f>'Yr 1 Rate Comp'!L65</f>
        <v>1333.45</v>
      </c>
      <c r="N51" s="551">
        <f t="shared" ref="N51:N52" si="15">J51-F51</f>
        <v>193.75</v>
      </c>
      <c r="O51" s="550"/>
      <c r="P51" s="585">
        <f t="shared" si="14"/>
        <v>0.17</v>
      </c>
      <c r="Q51" s="402"/>
    </row>
    <row r="52" spans="2:24" x14ac:dyDescent="0.4">
      <c r="B52" s="154"/>
      <c r="C52" s="589" t="s">
        <v>719</v>
      </c>
      <c r="D52" s="310"/>
      <c r="E52" s="310"/>
      <c r="F52" s="580">
        <f>'Yr 1 Rate Comp'!F66</f>
        <v>1799.31</v>
      </c>
      <c r="G52" s="310"/>
      <c r="H52" s="310"/>
      <c r="I52" s="310"/>
      <c r="J52" s="580">
        <f>'Yr 1 Rate Comp'!L66</f>
        <v>2105.19</v>
      </c>
      <c r="K52" s="310"/>
      <c r="L52" s="310"/>
      <c r="M52" s="310"/>
      <c r="N52" s="581">
        <f t="shared" si="15"/>
        <v>305.88000000000011</v>
      </c>
      <c r="O52" s="582"/>
      <c r="P52" s="516">
        <f t="shared" si="14"/>
        <v>0.17</v>
      </c>
      <c r="Q52" s="408"/>
    </row>
    <row r="54" spans="2:24" x14ac:dyDescent="0.4">
      <c r="B54" s="152"/>
      <c r="C54" s="661" t="s">
        <v>682</v>
      </c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401"/>
    </row>
    <row r="55" spans="2:24" x14ac:dyDescent="0.4">
      <c r="B55" s="153"/>
      <c r="F55" s="230" t="s">
        <v>683</v>
      </c>
      <c r="G55" s="230"/>
      <c r="H55" s="230" t="s">
        <v>684</v>
      </c>
      <c r="J55" s="230" t="s">
        <v>721</v>
      </c>
      <c r="K55" s="230"/>
      <c r="O55" s="402"/>
    </row>
    <row r="56" spans="2:24" x14ac:dyDescent="0.4">
      <c r="B56" s="153"/>
      <c r="F56" s="230" t="s">
        <v>145</v>
      </c>
      <c r="G56" s="230"/>
      <c r="H56" s="230" t="s">
        <v>145</v>
      </c>
      <c r="J56" s="230" t="s">
        <v>145</v>
      </c>
      <c r="K56" s="230"/>
      <c r="L56" s="657" t="s">
        <v>237</v>
      </c>
      <c r="M56" s="657"/>
      <c r="N56" s="657"/>
      <c r="O56" s="402"/>
    </row>
    <row r="57" spans="2:24" x14ac:dyDescent="0.4">
      <c r="B57" s="153"/>
      <c r="F57" s="243" t="s">
        <v>685</v>
      </c>
      <c r="G57" s="230"/>
      <c r="H57" s="243" t="s">
        <v>230</v>
      </c>
      <c r="J57" s="243" t="s">
        <v>230</v>
      </c>
      <c r="K57" s="230"/>
      <c r="L57" s="243" t="s">
        <v>681</v>
      </c>
      <c r="N57" s="243" t="s">
        <v>232</v>
      </c>
      <c r="O57" s="402"/>
    </row>
    <row r="58" spans="2:24" x14ac:dyDescent="0.4">
      <c r="B58" s="153"/>
      <c r="C58" s="142" t="s">
        <v>720</v>
      </c>
      <c r="F58" s="142">
        <f>ROUND('Prop BA - Yr 1'!G50/'Prop BA - Yr 1'!F45,0)</f>
        <v>4008</v>
      </c>
      <c r="G58" s="230"/>
      <c r="H58" s="404">
        <f>U7</f>
        <v>32.217199999999998</v>
      </c>
      <c r="J58" s="404">
        <v>37.71</v>
      </c>
      <c r="K58" s="230"/>
      <c r="L58" s="404">
        <f>J58-H58</f>
        <v>5.4928000000000026</v>
      </c>
      <c r="N58" s="585">
        <f>ROUND(L58/H58,4)</f>
        <v>0.17050000000000001</v>
      </c>
      <c r="O58" s="402"/>
      <c r="R58" s="142">
        <v>3020</v>
      </c>
    </row>
    <row r="59" spans="2:24" x14ac:dyDescent="0.4">
      <c r="B59" s="153"/>
      <c r="C59" s="142" t="s">
        <v>334</v>
      </c>
      <c r="F59" s="142">
        <f>ROUND('Prop BA - Yr 1'!G70/'Prop BA - Yr 1'!F65,0)</f>
        <v>21116</v>
      </c>
      <c r="G59" s="230"/>
      <c r="H59" s="404">
        <v>123.78</v>
      </c>
      <c r="J59" s="404">
        <f>V14</f>
        <v>144.65</v>
      </c>
      <c r="K59" s="230"/>
      <c r="L59" s="404">
        <f t="shared" ref="L59:L63" si="16">J59-H59</f>
        <v>20.870000000000005</v>
      </c>
      <c r="N59" s="585">
        <f t="shared" ref="N59:N65" si="17">ROUND(L59/H59,4)</f>
        <v>0.1686</v>
      </c>
      <c r="O59" s="402"/>
      <c r="R59" s="142">
        <v>5381</v>
      </c>
    </row>
    <row r="60" spans="2:24" x14ac:dyDescent="0.4">
      <c r="B60" s="153"/>
      <c r="C60" s="142" t="s">
        <v>686</v>
      </c>
      <c r="F60" s="142">
        <f>ROUND('Prop BA - Yr 1'!G85/'Prop BA - Yr 1'!F81,0)</f>
        <v>213248</v>
      </c>
      <c r="G60" s="230"/>
      <c r="H60" s="404">
        <f>U20</f>
        <v>930.02</v>
      </c>
      <c r="I60" s="404">
        <f t="shared" ref="I60" si="18">V20</f>
        <v>1086.31</v>
      </c>
      <c r="J60" s="404">
        <v>1086.77</v>
      </c>
      <c r="K60" s="230"/>
      <c r="L60" s="404">
        <f t="shared" ref="L60" si="19">J60-H60</f>
        <v>156.75</v>
      </c>
      <c r="N60" s="585">
        <f t="shared" si="17"/>
        <v>0.16850000000000001</v>
      </c>
      <c r="O60" s="402"/>
      <c r="R60" s="142"/>
    </row>
    <row r="61" spans="2:24" x14ac:dyDescent="0.4">
      <c r="B61" s="153"/>
      <c r="C61" s="142" t="s">
        <v>336</v>
      </c>
      <c r="F61" s="142">
        <f>ROUND('Prop BA - Yr 1'!G100/'Prop BA - Yr 1'!F96,0)</f>
        <v>44390</v>
      </c>
      <c r="G61" s="142"/>
      <c r="H61" s="404">
        <f>U24</f>
        <v>250.2</v>
      </c>
      <c r="J61" s="404">
        <f>V24</f>
        <v>292.41999999999996</v>
      </c>
      <c r="L61" s="404">
        <f t="shared" si="16"/>
        <v>42.21999999999997</v>
      </c>
      <c r="N61" s="585">
        <f t="shared" si="17"/>
        <v>0.16869999999999999</v>
      </c>
      <c r="O61" s="402"/>
      <c r="R61" s="142">
        <v>132045</v>
      </c>
    </row>
    <row r="62" spans="2:24" x14ac:dyDescent="0.4">
      <c r="B62" s="153"/>
      <c r="C62" s="142" t="s">
        <v>338</v>
      </c>
      <c r="F62" s="142">
        <f>ROUND('Prop BA - Yr 1'!G115/'Prop BA - Yr 1'!F111,0)</f>
        <v>80347</v>
      </c>
      <c r="G62" s="142"/>
      <c r="H62" s="404">
        <f>U35</f>
        <v>469.47</v>
      </c>
      <c r="J62" s="404">
        <f>V35</f>
        <v>548.86000000000013</v>
      </c>
      <c r="L62" s="404">
        <f t="shared" ref="L62" si="20">J62-H62</f>
        <v>79.3900000000001</v>
      </c>
      <c r="N62" s="585">
        <f t="shared" si="17"/>
        <v>0.1691</v>
      </c>
      <c r="O62" s="402"/>
      <c r="R62" s="142"/>
    </row>
    <row r="63" spans="2:24" x14ac:dyDescent="0.4">
      <c r="B63" s="153"/>
      <c r="C63" s="142" t="s">
        <v>339</v>
      </c>
      <c r="F63" s="142">
        <f>ROUND('Prop BA - Yr 1'!G128/'Prop BA - Yr 1'!F125,0)</f>
        <v>39917</v>
      </c>
      <c r="G63" s="142"/>
      <c r="H63" s="404">
        <f>F37</f>
        <v>397.91</v>
      </c>
      <c r="J63" s="404">
        <f>J37</f>
        <v>465.54</v>
      </c>
      <c r="L63" s="404">
        <f t="shared" si="16"/>
        <v>67.63</v>
      </c>
      <c r="N63" s="585">
        <f t="shared" si="17"/>
        <v>0.17</v>
      </c>
      <c r="O63" s="402"/>
      <c r="R63" s="142">
        <v>94726</v>
      </c>
    </row>
    <row r="64" spans="2:24" x14ac:dyDescent="0.4">
      <c r="B64" s="153"/>
      <c r="C64" s="592" t="s">
        <v>460</v>
      </c>
      <c r="F64" s="142"/>
      <c r="G64" s="142"/>
      <c r="H64" s="404"/>
      <c r="J64" s="404"/>
      <c r="L64" s="404"/>
      <c r="N64" s="585"/>
      <c r="O64" s="402"/>
      <c r="R64" s="142">
        <v>523333</v>
      </c>
    </row>
    <row r="65" spans="2:18" x14ac:dyDescent="0.4">
      <c r="B65" s="153"/>
      <c r="C65" s="588" t="s">
        <v>716</v>
      </c>
      <c r="F65" s="142"/>
      <c r="G65" s="142"/>
      <c r="H65" s="404">
        <f>F45</f>
        <v>17.53</v>
      </c>
      <c r="J65" s="404">
        <f>J45</f>
        <v>20.51</v>
      </c>
      <c r="L65" s="404">
        <f t="shared" ref="L65" si="21">J65-H65</f>
        <v>2.9800000000000004</v>
      </c>
      <c r="N65" s="585">
        <f t="shared" si="17"/>
        <v>0.17</v>
      </c>
      <c r="O65" s="402"/>
      <c r="R65" s="142"/>
    </row>
    <row r="66" spans="2:18" x14ac:dyDescent="0.4">
      <c r="B66" s="153"/>
      <c r="C66" s="588" t="s">
        <v>717</v>
      </c>
      <c r="F66" s="142"/>
      <c r="G66" s="142"/>
      <c r="H66" s="404">
        <f t="shared" ref="H66:H72" si="22">F46</f>
        <v>26.2</v>
      </c>
      <c r="J66" s="404">
        <f t="shared" ref="J66:J72" si="23">J46</f>
        <v>30.65</v>
      </c>
      <c r="L66" s="404">
        <f t="shared" ref="L66:L72" si="24">J66-H66</f>
        <v>4.4499999999999993</v>
      </c>
      <c r="N66" s="585">
        <f t="shared" ref="N66:N72" si="25">ROUND(L66/H66,4)</f>
        <v>0.16980000000000001</v>
      </c>
      <c r="O66" s="402"/>
      <c r="R66" s="142"/>
    </row>
    <row r="67" spans="2:18" x14ac:dyDescent="0.4">
      <c r="B67" s="153"/>
      <c r="C67" s="588" t="s">
        <v>357</v>
      </c>
      <c r="H67" s="404">
        <f t="shared" si="22"/>
        <v>68.05</v>
      </c>
      <c r="J67" s="404">
        <f t="shared" si="23"/>
        <v>79.62</v>
      </c>
      <c r="L67" s="404">
        <f t="shared" si="24"/>
        <v>11.570000000000007</v>
      </c>
      <c r="N67" s="585">
        <f t="shared" si="25"/>
        <v>0.17</v>
      </c>
      <c r="O67" s="402"/>
    </row>
    <row r="68" spans="2:18" x14ac:dyDescent="0.4">
      <c r="B68" s="153"/>
      <c r="C68" s="588" t="s">
        <v>345</v>
      </c>
      <c r="H68" s="404">
        <f t="shared" si="22"/>
        <v>147.91999999999999</v>
      </c>
      <c r="J68" s="404">
        <f t="shared" si="23"/>
        <v>173.07</v>
      </c>
      <c r="L68" s="404">
        <f t="shared" si="24"/>
        <v>25.150000000000006</v>
      </c>
      <c r="N68" s="585">
        <f t="shared" si="25"/>
        <v>0.17</v>
      </c>
      <c r="O68" s="402"/>
    </row>
    <row r="69" spans="2:18" x14ac:dyDescent="0.4">
      <c r="B69" s="153"/>
      <c r="C69" s="588" t="s">
        <v>346</v>
      </c>
      <c r="H69" s="404">
        <f t="shared" si="22"/>
        <v>340.77</v>
      </c>
      <c r="J69" s="404">
        <f t="shared" si="23"/>
        <v>398.7</v>
      </c>
      <c r="L69" s="404">
        <f t="shared" si="24"/>
        <v>57.930000000000007</v>
      </c>
      <c r="N69" s="585">
        <f t="shared" si="25"/>
        <v>0.17</v>
      </c>
      <c r="O69" s="402"/>
    </row>
    <row r="70" spans="2:18" x14ac:dyDescent="0.4">
      <c r="B70" s="153"/>
      <c r="C70" s="588" t="s">
        <v>710</v>
      </c>
      <c r="H70" s="404">
        <f t="shared" si="22"/>
        <v>658.17</v>
      </c>
      <c r="J70" s="404">
        <f t="shared" si="23"/>
        <v>770.06</v>
      </c>
      <c r="L70" s="404">
        <f t="shared" si="24"/>
        <v>111.88999999999999</v>
      </c>
      <c r="N70" s="585">
        <f t="shared" si="25"/>
        <v>0.17</v>
      </c>
      <c r="O70" s="402"/>
    </row>
    <row r="71" spans="2:18" x14ac:dyDescent="0.4">
      <c r="B71" s="153"/>
      <c r="C71" s="588" t="s">
        <v>718</v>
      </c>
      <c r="H71" s="404">
        <f t="shared" si="22"/>
        <v>1139.7</v>
      </c>
      <c r="J71" s="404">
        <f t="shared" si="23"/>
        <v>1333.45</v>
      </c>
      <c r="L71" s="404">
        <f t="shared" si="24"/>
        <v>193.75</v>
      </c>
      <c r="N71" s="585">
        <f t="shared" si="25"/>
        <v>0.17</v>
      </c>
      <c r="O71" s="402"/>
    </row>
    <row r="72" spans="2:18" x14ac:dyDescent="0.4">
      <c r="B72" s="154"/>
      <c r="C72" s="589" t="s">
        <v>719</v>
      </c>
      <c r="D72" s="310"/>
      <c r="E72" s="310"/>
      <c r="F72" s="310"/>
      <c r="G72" s="310"/>
      <c r="H72" s="580">
        <f t="shared" si="22"/>
        <v>1799.31</v>
      </c>
      <c r="I72" s="310"/>
      <c r="J72" s="580">
        <f t="shared" si="23"/>
        <v>2105.19</v>
      </c>
      <c r="K72" s="310"/>
      <c r="L72" s="580">
        <f t="shared" si="24"/>
        <v>305.88000000000011</v>
      </c>
      <c r="M72" s="310"/>
      <c r="N72" s="516">
        <f t="shared" si="25"/>
        <v>0.17</v>
      </c>
      <c r="O72" s="408"/>
    </row>
  </sheetData>
  <mergeCells count="5">
    <mergeCell ref="L56:N56"/>
    <mergeCell ref="N3:P3"/>
    <mergeCell ref="F4:H4"/>
    <mergeCell ref="J4:L4"/>
    <mergeCell ref="C54:N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EFAA-CA84-4A30-BCCD-CB7EC391EAC5}">
  <dimension ref="B2:IY70"/>
  <sheetViews>
    <sheetView showGridLines="0" topLeftCell="A4" zoomScaleNormal="100" workbookViewId="0">
      <selection activeCell="L59" sqref="L59"/>
    </sheetView>
  </sheetViews>
  <sheetFormatPr defaultColWidth="8.88671875" defaultRowHeight="15.75" x14ac:dyDescent="0.5"/>
  <cols>
    <col min="1" max="1" width="3.5546875" style="14" customWidth="1"/>
    <col min="2" max="2" width="1.77734375" style="14" customWidth="1"/>
    <col min="3" max="3" width="3.6640625" style="13" customWidth="1"/>
    <col min="4" max="4" width="2.6640625" style="13" customWidth="1"/>
    <col min="5" max="5" width="27.33203125" style="13" customWidth="1"/>
    <col min="6" max="6" width="13.77734375" style="13" customWidth="1"/>
    <col min="7" max="7" width="1.77734375" style="13" customWidth="1"/>
    <col min="8" max="8" width="13.77734375" style="13" customWidth="1"/>
    <col min="9" max="9" width="1.77734375" style="13" customWidth="1"/>
    <col min="10" max="10" width="4.88671875" style="201" customWidth="1"/>
    <col min="11" max="11" width="1.77734375" style="201" customWidth="1"/>
    <col min="12" max="12" width="13.77734375" style="13" customWidth="1"/>
    <col min="13" max="13" width="1.5546875" style="13" customWidth="1"/>
    <col min="14" max="14" width="9.6640625" style="216" customWidth="1"/>
    <col min="15" max="15" width="11.33203125" style="13" customWidth="1"/>
    <col min="16" max="16" width="9.6640625" style="99" customWidth="1"/>
    <col min="17" max="17" width="18" style="13" customWidth="1"/>
    <col min="18" max="18" width="8.21875" style="13" customWidth="1"/>
    <col min="19" max="259" width="9.6640625" style="13" customWidth="1"/>
    <col min="260" max="261" width="9.6640625" style="14" customWidth="1"/>
    <col min="262" max="16384" width="8.88671875" style="14"/>
  </cols>
  <sheetData>
    <row r="2" spans="2:23" ht="6.95" customHeight="1" x14ac:dyDescent="0.5">
      <c r="B2" s="30"/>
      <c r="C2" s="59"/>
      <c r="D2" s="59"/>
      <c r="E2" s="59"/>
      <c r="F2" s="59"/>
      <c r="G2" s="59"/>
      <c r="H2" s="59"/>
      <c r="I2" s="59"/>
      <c r="J2" s="200"/>
      <c r="K2" s="200"/>
      <c r="L2" s="59"/>
      <c r="M2" s="60"/>
    </row>
    <row r="3" spans="2:23" x14ac:dyDescent="0.5">
      <c r="B3" s="29"/>
      <c r="C3" s="604" t="s">
        <v>21</v>
      </c>
      <c r="D3" s="604"/>
      <c r="E3" s="604"/>
      <c r="F3" s="604"/>
      <c r="G3" s="604"/>
      <c r="H3" s="604"/>
      <c r="I3" s="604"/>
      <c r="J3" s="604"/>
      <c r="K3" s="604"/>
      <c r="L3" s="604"/>
      <c r="M3" s="195"/>
      <c r="N3" s="218"/>
      <c r="O3" s="12"/>
      <c r="P3" s="100"/>
      <c r="Q3" s="12"/>
      <c r="R3" s="12"/>
      <c r="S3" s="12"/>
      <c r="T3" s="12"/>
    </row>
    <row r="4" spans="2:23" ht="18.75" customHeight="1" x14ac:dyDescent="0.5">
      <c r="B4" s="29"/>
      <c r="C4" s="605" t="str">
        <f>Adj!B1</f>
        <v>Butler County Water System, Inc.</v>
      </c>
      <c r="D4" s="605"/>
      <c r="E4" s="605"/>
      <c r="F4" s="605"/>
      <c r="G4" s="605"/>
      <c r="H4" s="605"/>
      <c r="I4" s="605"/>
      <c r="J4" s="605"/>
      <c r="K4" s="605"/>
      <c r="L4" s="605"/>
      <c r="M4" s="67"/>
      <c r="N4" s="217"/>
      <c r="O4" s="116"/>
      <c r="P4" s="100"/>
      <c r="Q4" s="157"/>
      <c r="R4" s="157"/>
      <c r="S4" s="157"/>
      <c r="T4" s="157"/>
      <c r="U4" s="157"/>
      <c r="V4" s="157"/>
      <c r="W4" s="157"/>
    </row>
    <row r="5" spans="2:23" ht="6.95" customHeight="1" x14ac:dyDescent="0.5">
      <c r="B5" s="31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  <c r="N5" s="217"/>
      <c r="O5" s="116"/>
      <c r="P5" s="100"/>
      <c r="Q5" s="157"/>
      <c r="R5" s="157"/>
      <c r="S5" s="157"/>
      <c r="T5" s="157"/>
      <c r="U5" s="157"/>
      <c r="V5" s="157"/>
      <c r="W5" s="157"/>
    </row>
    <row r="6" spans="2:23" ht="6.95" customHeight="1" x14ac:dyDescent="0.5">
      <c r="B6" s="29"/>
      <c r="C6" s="12"/>
      <c r="D6" s="12"/>
      <c r="E6" s="12"/>
      <c r="F6" s="71"/>
      <c r="G6" s="71"/>
      <c r="H6" s="71"/>
      <c r="I6" s="71"/>
      <c r="J6" s="160"/>
      <c r="K6" s="160"/>
      <c r="L6" s="71"/>
      <c r="M6" s="72"/>
      <c r="N6" s="218"/>
      <c r="O6" s="12"/>
      <c r="P6" s="100"/>
      <c r="Q6" s="12"/>
      <c r="R6" s="12"/>
      <c r="S6" s="12"/>
      <c r="T6" s="12"/>
    </row>
    <row r="7" spans="2:23" x14ac:dyDescent="0.5">
      <c r="B7" s="29"/>
      <c r="C7" s="12"/>
      <c r="D7" s="12"/>
      <c r="E7" s="12"/>
      <c r="F7" s="158" t="s">
        <v>55</v>
      </c>
      <c r="G7" s="71"/>
      <c r="H7" s="158" t="s">
        <v>20</v>
      </c>
      <c r="I7" s="71"/>
      <c r="J7" s="240" t="s">
        <v>34</v>
      </c>
      <c r="K7" s="160"/>
      <c r="L7" s="158" t="s">
        <v>54</v>
      </c>
      <c r="M7" s="72"/>
      <c r="N7" s="219"/>
      <c r="O7" s="100"/>
      <c r="P7" s="100"/>
      <c r="Q7" s="100"/>
      <c r="R7" s="12"/>
      <c r="S7" s="12"/>
      <c r="T7" s="12"/>
    </row>
    <row r="8" spans="2:23" x14ac:dyDescent="0.5">
      <c r="B8" s="29"/>
      <c r="C8" s="161" t="s">
        <v>2</v>
      </c>
      <c r="D8" s="12"/>
      <c r="E8" s="12"/>
      <c r="F8" s="12"/>
      <c r="G8" s="12"/>
      <c r="H8" s="12"/>
      <c r="I8" s="12"/>
      <c r="J8" s="164"/>
      <c r="K8" s="164"/>
      <c r="L8" s="12"/>
      <c r="M8" s="162"/>
      <c r="N8" s="219"/>
      <c r="O8" s="100"/>
      <c r="P8" s="100"/>
      <c r="Q8" s="100"/>
      <c r="R8" s="12"/>
      <c r="S8" s="12"/>
      <c r="T8" s="12"/>
    </row>
    <row r="9" spans="2:23" x14ac:dyDescent="0.5">
      <c r="B9" s="29"/>
      <c r="C9" s="12"/>
      <c r="D9" s="12" t="s">
        <v>266</v>
      </c>
      <c r="E9" s="12"/>
      <c r="F9" s="221">
        <f>'SAO - DSC'!F9</f>
        <v>2200475</v>
      </c>
      <c r="G9" s="16"/>
      <c r="H9" s="221"/>
      <c r="I9" s="16"/>
      <c r="J9" s="62"/>
      <c r="K9" s="62"/>
      <c r="L9" s="221">
        <f>SUM(F9,H9)</f>
        <v>2200475</v>
      </c>
      <c r="M9" s="165"/>
      <c r="N9" s="222" t="s">
        <v>212</v>
      </c>
      <c r="O9" s="100"/>
      <c r="P9" s="100"/>
      <c r="Q9" s="100"/>
      <c r="R9" s="12"/>
      <c r="S9" s="12"/>
      <c r="T9" s="12"/>
    </row>
    <row r="10" spans="2:23" x14ac:dyDescent="0.5">
      <c r="B10" s="29"/>
      <c r="C10" s="12"/>
      <c r="D10" s="12" t="s">
        <v>265</v>
      </c>
      <c r="E10" s="12"/>
      <c r="F10" s="225">
        <f>'SAO - DSC'!F10</f>
        <v>6685</v>
      </c>
      <c r="G10" s="16"/>
      <c r="H10" s="225"/>
      <c r="I10" s="190"/>
      <c r="J10" s="62"/>
      <c r="K10" s="62"/>
      <c r="L10" s="225">
        <f>SUM(F10,H10)</f>
        <v>6685</v>
      </c>
      <c r="M10" s="165"/>
      <c r="N10" s="222" t="s">
        <v>213</v>
      </c>
      <c r="O10" s="100"/>
      <c r="P10" s="100"/>
      <c r="Q10" s="100"/>
      <c r="R10" s="12"/>
      <c r="S10" s="12"/>
      <c r="T10" s="12"/>
    </row>
    <row r="11" spans="2:23" x14ac:dyDescent="0.5">
      <c r="B11" s="29"/>
      <c r="C11" s="12"/>
      <c r="D11" s="12" t="s">
        <v>267</v>
      </c>
      <c r="E11" s="12"/>
      <c r="F11" s="223">
        <f>SUM(F9:F10)</f>
        <v>2207160</v>
      </c>
      <c r="G11" s="16"/>
      <c r="H11" s="223">
        <f>SUM(H9:H10)</f>
        <v>0</v>
      </c>
      <c r="I11" s="190"/>
      <c r="J11" s="62"/>
      <c r="K11" s="62"/>
      <c r="L11" s="223">
        <f>SUM(L9:L10)</f>
        <v>2207160</v>
      </c>
      <c r="M11" s="165"/>
      <c r="N11" s="222" t="s">
        <v>216</v>
      </c>
      <c r="O11" s="100"/>
      <c r="P11" s="100"/>
      <c r="Q11" s="100"/>
      <c r="R11" s="12"/>
      <c r="S11" s="12"/>
      <c r="T11" s="12"/>
    </row>
    <row r="12" spans="2:23" x14ac:dyDescent="0.5">
      <c r="B12" s="29"/>
      <c r="C12" s="12"/>
      <c r="D12" s="12"/>
      <c r="E12" s="12"/>
      <c r="F12" s="223"/>
      <c r="G12" s="61"/>
      <c r="H12" s="223"/>
      <c r="I12" s="4"/>
      <c r="J12" s="62"/>
      <c r="K12" s="62"/>
      <c r="L12" s="223"/>
      <c r="M12" s="166"/>
      <c r="N12" s="222" t="s">
        <v>215</v>
      </c>
      <c r="O12" s="100"/>
      <c r="P12" s="100"/>
      <c r="Q12" s="100"/>
      <c r="R12" s="12"/>
      <c r="S12" s="12"/>
      <c r="T12" s="12"/>
    </row>
    <row r="13" spans="2:23" x14ac:dyDescent="0.5">
      <c r="B13" s="29"/>
      <c r="C13" s="12"/>
      <c r="D13" s="12" t="s">
        <v>28</v>
      </c>
      <c r="E13" s="12"/>
      <c r="F13" s="223"/>
      <c r="G13" s="17"/>
      <c r="H13" s="223"/>
      <c r="I13" s="190"/>
      <c r="J13" s="191"/>
      <c r="K13" s="191"/>
      <c r="L13" s="223"/>
      <c r="M13" s="165"/>
      <c r="O13" s="100"/>
      <c r="P13" s="100"/>
      <c r="Q13" s="100"/>
      <c r="R13" s="12"/>
      <c r="S13" s="12"/>
      <c r="T13" s="12"/>
    </row>
    <row r="14" spans="2:23" x14ac:dyDescent="0.5">
      <c r="B14" s="29"/>
      <c r="C14" s="12"/>
      <c r="D14" s="12"/>
      <c r="E14" s="12" t="s">
        <v>26</v>
      </c>
      <c r="F14" s="223">
        <f>'SAO - DSC'!F13</f>
        <v>32405</v>
      </c>
      <c r="G14" s="190"/>
      <c r="H14" s="223"/>
      <c r="I14" s="190"/>
      <c r="J14" s="191"/>
      <c r="K14" s="191"/>
      <c r="L14" s="223">
        <f>SUM(F14,H14)</f>
        <v>32405</v>
      </c>
      <c r="M14" s="166"/>
      <c r="N14" s="222"/>
      <c r="O14" s="100"/>
      <c r="P14" s="100"/>
      <c r="Q14" s="167"/>
      <c r="R14" s="12"/>
      <c r="S14" s="12"/>
      <c r="T14" s="12"/>
    </row>
    <row r="15" spans="2:23" x14ac:dyDescent="0.5">
      <c r="B15" s="29"/>
      <c r="C15" s="12"/>
      <c r="D15" s="12"/>
      <c r="E15" s="12" t="s">
        <v>27</v>
      </c>
      <c r="F15" s="223">
        <f>'SAO - DSC'!F14</f>
        <v>28185</v>
      </c>
      <c r="G15" s="190"/>
      <c r="H15" s="223"/>
      <c r="I15" s="190"/>
      <c r="J15" s="191"/>
      <c r="K15" s="191"/>
      <c r="L15" s="223">
        <f t="shared" ref="L15:L16" si="0">SUM(F15,H15)</f>
        <v>28185</v>
      </c>
      <c r="M15" s="166"/>
      <c r="N15" s="222">
        <f>L15+L14</f>
        <v>60590</v>
      </c>
      <c r="O15" s="100"/>
      <c r="Q15" s="168"/>
      <c r="R15" s="169"/>
      <c r="S15" s="12"/>
      <c r="T15" s="12"/>
    </row>
    <row r="16" spans="2:23" ht="18" x14ac:dyDescent="0.5">
      <c r="B16" s="29"/>
      <c r="C16" s="12"/>
      <c r="D16" s="12"/>
      <c r="E16" s="14" t="s">
        <v>109</v>
      </c>
      <c r="F16" s="225">
        <f>'SAO - DSC'!F15</f>
        <v>256</v>
      </c>
      <c r="G16" s="190"/>
      <c r="H16" s="225"/>
      <c r="I16" s="190"/>
      <c r="J16" s="191"/>
      <c r="K16" s="191"/>
      <c r="L16" s="225">
        <f t="shared" si="0"/>
        <v>256</v>
      </c>
      <c r="M16" s="170"/>
      <c r="N16" s="222" t="s">
        <v>225</v>
      </c>
      <c r="O16" s="100"/>
      <c r="Q16" s="168"/>
      <c r="R16" s="171"/>
      <c r="S16" s="12"/>
      <c r="T16" s="12"/>
    </row>
    <row r="17" spans="2:20" x14ac:dyDescent="0.5">
      <c r="B17" s="29"/>
      <c r="C17" s="96" t="s">
        <v>3</v>
      </c>
      <c r="D17" s="12"/>
      <c r="E17" s="12"/>
      <c r="F17" s="224">
        <f>SUM(F11,F14:F16)</f>
        <v>2268006</v>
      </c>
      <c r="G17" s="17"/>
      <c r="H17" s="224">
        <f>SUM(H11,H14:H16)</f>
        <v>0</v>
      </c>
      <c r="I17" s="17"/>
      <c r="J17" s="191"/>
      <c r="K17" s="191"/>
      <c r="L17" s="224">
        <f>SUM(L11,L14:L16)</f>
        <v>2268006</v>
      </c>
      <c r="M17" s="165"/>
      <c r="N17" s="219"/>
      <c r="O17" s="100"/>
      <c r="Q17" s="168"/>
      <c r="R17" s="171"/>
      <c r="S17" s="12"/>
      <c r="T17" s="12"/>
    </row>
    <row r="18" spans="2:20" x14ac:dyDescent="0.5">
      <c r="B18" s="29"/>
      <c r="C18" s="12"/>
      <c r="D18" s="12"/>
      <c r="E18" s="12"/>
      <c r="F18" s="224"/>
      <c r="G18" s="17"/>
      <c r="H18" s="190"/>
      <c r="I18" s="190"/>
      <c r="J18" s="191"/>
      <c r="K18" s="191"/>
      <c r="L18" s="17"/>
      <c r="M18" s="173"/>
      <c r="N18" s="219"/>
      <c r="O18" s="100"/>
      <c r="Q18" s="168"/>
      <c r="R18" s="171"/>
      <c r="S18" s="12"/>
      <c r="T18" s="12"/>
    </row>
    <row r="19" spans="2:20" ht="18" x14ac:dyDescent="0.5">
      <c r="B19" s="29"/>
      <c r="C19" s="161" t="s">
        <v>4</v>
      </c>
      <c r="D19" s="12"/>
      <c r="E19" s="12"/>
      <c r="F19" s="224"/>
      <c r="G19" s="17"/>
      <c r="H19" s="190"/>
      <c r="I19" s="190"/>
      <c r="J19" s="191"/>
      <c r="K19" s="191"/>
      <c r="L19" s="17"/>
      <c r="M19" s="173"/>
      <c r="N19" s="219"/>
      <c r="O19" s="100"/>
      <c r="Q19" s="168"/>
      <c r="R19" s="174"/>
      <c r="S19" s="12"/>
      <c r="T19" s="12"/>
    </row>
    <row r="20" spans="2:20" ht="18" x14ac:dyDescent="0.5">
      <c r="B20" s="29"/>
      <c r="C20" s="12"/>
      <c r="D20" s="12" t="s">
        <v>8</v>
      </c>
      <c r="E20" s="12"/>
      <c r="F20" s="223"/>
      <c r="G20" s="190"/>
      <c r="H20" s="190"/>
      <c r="I20" s="190"/>
      <c r="J20" s="191"/>
      <c r="K20" s="191"/>
      <c r="L20" s="17"/>
      <c r="M20" s="173"/>
      <c r="N20" s="219"/>
      <c r="O20" s="175"/>
      <c r="Q20" s="168"/>
      <c r="R20" s="169"/>
      <c r="S20" s="12"/>
      <c r="T20" s="12"/>
    </row>
    <row r="21" spans="2:20" x14ac:dyDescent="0.5">
      <c r="B21" s="29"/>
      <c r="C21" s="12"/>
      <c r="D21" s="12"/>
      <c r="E21" s="12" t="s">
        <v>12</v>
      </c>
      <c r="F21" s="223">
        <f>'SAO - DSC'!F19</f>
        <v>430015</v>
      </c>
      <c r="G21" s="190"/>
      <c r="H21" s="190">
        <f>'SAO - DSC'!H19</f>
        <v>97269.81868280092</v>
      </c>
      <c r="I21" s="190"/>
      <c r="J21" s="191" t="s">
        <v>64</v>
      </c>
      <c r="K21" s="191"/>
      <c r="L21" s="17"/>
      <c r="M21" s="173"/>
      <c r="N21" s="222" t="s">
        <v>221</v>
      </c>
      <c r="O21" s="100"/>
      <c r="Q21" s="167"/>
      <c r="R21" s="12"/>
      <c r="S21" s="12"/>
      <c r="T21" s="12"/>
    </row>
    <row r="22" spans="2:20" x14ac:dyDescent="0.5">
      <c r="B22" s="29"/>
      <c r="C22" s="12"/>
      <c r="D22" s="12"/>
      <c r="E22" s="12"/>
      <c r="F22" s="223"/>
      <c r="G22" s="190"/>
      <c r="H22" s="190"/>
      <c r="I22" s="190"/>
      <c r="J22" s="191" t="s">
        <v>63</v>
      </c>
      <c r="K22" s="191"/>
      <c r="L22" s="17">
        <f>SUM(F21:H22)</f>
        <v>527284.81868280098</v>
      </c>
      <c r="M22" s="173"/>
      <c r="N22" s="222" t="s">
        <v>225</v>
      </c>
      <c r="O22" s="100"/>
      <c r="P22" s="100"/>
      <c r="Q22" s="12"/>
      <c r="R22" s="12"/>
      <c r="S22" s="12"/>
      <c r="T22" s="12"/>
    </row>
    <row r="23" spans="2:20" x14ac:dyDescent="0.5">
      <c r="B23" s="29"/>
      <c r="C23" s="12"/>
      <c r="D23" s="12"/>
      <c r="E23" s="12" t="s">
        <v>13</v>
      </c>
      <c r="F23" s="223">
        <f>'SAO - DSC'!F20</f>
        <v>18000</v>
      </c>
      <c r="G23" s="190"/>
      <c r="H23" s="190"/>
      <c r="I23" s="190"/>
      <c r="J23" s="191"/>
      <c r="K23" s="191"/>
      <c r="L23" s="17">
        <f t="shared" ref="L23:L40" si="1">F23+H23</f>
        <v>18000</v>
      </c>
      <c r="M23" s="173"/>
      <c r="N23" s="219"/>
      <c r="O23" s="100"/>
      <c r="P23" s="100"/>
      <c r="Q23" s="100"/>
      <c r="S23" s="12"/>
      <c r="T23" s="12"/>
    </row>
    <row r="24" spans="2:20" x14ac:dyDescent="0.5">
      <c r="B24" s="29"/>
      <c r="C24" s="12"/>
      <c r="D24" s="12"/>
      <c r="E24" s="12" t="s">
        <v>14</v>
      </c>
      <c r="F24" s="223">
        <f>'SAO - DSC'!F21</f>
        <v>220330</v>
      </c>
      <c r="G24" s="190"/>
      <c r="H24" s="190"/>
      <c r="I24" s="190"/>
      <c r="J24" s="193" t="s">
        <v>65</v>
      </c>
      <c r="K24" s="193"/>
      <c r="L24" s="17"/>
      <c r="M24" s="173"/>
      <c r="N24" s="222" t="s">
        <v>222</v>
      </c>
      <c r="O24" s="100"/>
      <c r="P24" s="100"/>
      <c r="S24" s="12"/>
      <c r="T24" s="12"/>
    </row>
    <row r="25" spans="2:20" x14ac:dyDescent="0.5">
      <c r="B25" s="29"/>
      <c r="C25" s="12"/>
      <c r="D25" s="12"/>
      <c r="E25" s="12"/>
      <c r="F25" s="223"/>
      <c r="G25" s="190"/>
      <c r="H25" s="190"/>
      <c r="I25" s="190"/>
      <c r="J25" s="191" t="s">
        <v>151</v>
      </c>
      <c r="K25" s="191"/>
      <c r="L25" s="17">
        <f>SUM(F24:H25)</f>
        <v>220330</v>
      </c>
      <c r="M25" s="173"/>
      <c r="N25" s="222" t="s">
        <v>167</v>
      </c>
      <c r="O25" s="100"/>
      <c r="P25" s="100"/>
      <c r="S25" s="12"/>
      <c r="T25" s="12"/>
    </row>
    <row r="26" spans="2:20" x14ac:dyDescent="0.5">
      <c r="B26" s="29"/>
      <c r="C26" s="12"/>
      <c r="D26" s="12"/>
      <c r="E26" s="12" t="s">
        <v>16</v>
      </c>
      <c r="F26" s="223">
        <f>'SAO - DSC'!F24</f>
        <v>154303</v>
      </c>
      <c r="G26" s="190"/>
      <c r="H26" s="190"/>
      <c r="I26" s="190"/>
      <c r="J26" s="193" t="s">
        <v>66</v>
      </c>
      <c r="K26" s="193"/>
      <c r="L26" s="17">
        <f t="shared" si="1"/>
        <v>154303</v>
      </c>
      <c r="M26" s="173"/>
      <c r="N26" s="222" t="s">
        <v>223</v>
      </c>
      <c r="O26" s="99"/>
      <c r="P26" s="100"/>
      <c r="S26" s="12"/>
      <c r="T26" s="12"/>
    </row>
    <row r="27" spans="2:20" x14ac:dyDescent="0.5">
      <c r="B27" s="29"/>
      <c r="C27" s="12"/>
      <c r="D27" s="12"/>
      <c r="E27" s="12" t="s">
        <v>268</v>
      </c>
      <c r="F27" s="223">
        <f>'SAO - DSC'!F25</f>
        <v>88875</v>
      </c>
      <c r="G27" s="190"/>
      <c r="H27" s="190"/>
      <c r="I27" s="190"/>
      <c r="J27" s="193" t="s">
        <v>67</v>
      </c>
      <c r="K27" s="193"/>
      <c r="L27" s="17">
        <f t="shared" si="1"/>
        <v>88875</v>
      </c>
      <c r="M27" s="173"/>
      <c r="N27" s="222" t="s">
        <v>224</v>
      </c>
      <c r="O27" s="99"/>
      <c r="P27" s="100"/>
      <c r="S27" s="12"/>
      <c r="T27" s="12"/>
    </row>
    <row r="28" spans="2:20" x14ac:dyDescent="0.5">
      <c r="B28" s="29"/>
      <c r="C28" s="12"/>
      <c r="D28" s="12"/>
      <c r="E28" s="12" t="s">
        <v>50</v>
      </c>
      <c r="F28" s="223">
        <f>'SAO - DSC'!F26</f>
        <v>86124</v>
      </c>
      <c r="G28" s="190"/>
      <c r="H28" s="190"/>
      <c r="I28" s="190"/>
      <c r="J28" s="193" t="s">
        <v>63</v>
      </c>
      <c r="K28" s="193"/>
      <c r="L28" s="17">
        <f t="shared" si="1"/>
        <v>86124</v>
      </c>
      <c r="M28" s="173"/>
      <c r="N28" s="222" t="s">
        <v>225</v>
      </c>
      <c r="O28" s="100"/>
      <c r="P28" s="177"/>
      <c r="Q28" s="100"/>
      <c r="R28" s="12"/>
      <c r="S28" s="12"/>
      <c r="T28" s="12"/>
    </row>
    <row r="29" spans="2:20" x14ac:dyDescent="0.5">
      <c r="B29" s="29"/>
      <c r="C29" s="12"/>
      <c r="D29" s="12"/>
      <c r="E29" s="12" t="s">
        <v>270</v>
      </c>
      <c r="F29" s="223">
        <f>'SAO - DSC'!F27</f>
        <v>6041</v>
      </c>
      <c r="G29" s="190"/>
      <c r="H29" s="190"/>
      <c r="I29" s="190"/>
      <c r="J29" s="193"/>
      <c r="K29" s="193"/>
      <c r="L29" s="17">
        <f t="shared" si="1"/>
        <v>6041</v>
      </c>
      <c r="M29" s="173"/>
      <c r="N29" s="222"/>
      <c r="O29" s="100"/>
      <c r="P29" s="177"/>
      <c r="Q29" s="100"/>
      <c r="R29" s="12"/>
      <c r="S29" s="12"/>
      <c r="T29" s="12"/>
    </row>
    <row r="30" spans="2:20" x14ac:dyDescent="0.5">
      <c r="B30" s="29"/>
      <c r="C30" s="12"/>
      <c r="D30" s="12"/>
      <c r="E30" s="12" t="s">
        <v>244</v>
      </c>
      <c r="F30" s="223">
        <f>'SAO - DSC'!F28</f>
        <v>161</v>
      </c>
      <c r="G30" s="190"/>
      <c r="H30" s="190"/>
      <c r="I30" s="190"/>
      <c r="J30" s="193"/>
      <c r="K30" s="193"/>
      <c r="L30" s="17">
        <f t="shared" si="1"/>
        <v>161</v>
      </c>
      <c r="M30" s="173"/>
      <c r="N30" s="222"/>
      <c r="O30" s="100"/>
      <c r="P30" s="177"/>
      <c r="Q30" s="100"/>
      <c r="R30" s="12"/>
      <c r="S30" s="12"/>
      <c r="T30" s="12"/>
    </row>
    <row r="31" spans="2:20" x14ac:dyDescent="0.5">
      <c r="B31" s="29"/>
      <c r="C31" s="12"/>
      <c r="D31" s="12"/>
      <c r="E31" s="12" t="s">
        <v>227</v>
      </c>
      <c r="F31" s="223">
        <f>'SAO - DSC'!F29</f>
        <v>12351</v>
      </c>
      <c r="G31" s="190"/>
      <c r="H31" s="190"/>
      <c r="I31" s="190"/>
      <c r="J31" s="191"/>
      <c r="K31" s="191"/>
      <c r="L31" s="17">
        <f t="shared" si="1"/>
        <v>12351</v>
      </c>
      <c r="M31" s="173"/>
      <c r="N31" s="226"/>
      <c r="O31" s="100"/>
      <c r="P31" s="100"/>
      <c r="Q31" s="100"/>
      <c r="R31" s="12"/>
      <c r="S31" s="12"/>
      <c r="T31" s="12"/>
    </row>
    <row r="32" spans="2:20" x14ac:dyDescent="0.5">
      <c r="B32" s="29"/>
      <c r="C32" s="12"/>
      <c r="D32" s="12"/>
      <c r="E32" s="12" t="s">
        <v>269</v>
      </c>
      <c r="F32" s="223">
        <f>'SAO - DSC'!F30</f>
        <v>199571</v>
      </c>
      <c r="G32" s="190"/>
      <c r="H32" s="190"/>
      <c r="I32" s="190"/>
      <c r="J32" s="191"/>
      <c r="K32" s="191"/>
      <c r="L32" s="17">
        <f t="shared" si="1"/>
        <v>199571</v>
      </c>
      <c r="M32" s="173"/>
      <c r="N32" s="226"/>
      <c r="O32" s="100"/>
      <c r="P32" s="100"/>
      <c r="Q32" s="100"/>
      <c r="R32" s="12"/>
      <c r="S32" s="12"/>
      <c r="T32" s="12"/>
    </row>
    <row r="33" spans="2:20" ht="15" customHeight="1" x14ac:dyDescent="0.5">
      <c r="B33" s="29"/>
      <c r="C33" s="12"/>
      <c r="D33" s="12"/>
      <c r="E33" s="12" t="s">
        <v>271</v>
      </c>
      <c r="F33" s="223">
        <f>'SAO - DSC'!F31</f>
        <v>16295</v>
      </c>
      <c r="G33" s="190"/>
      <c r="H33" s="190"/>
      <c r="I33" s="190"/>
      <c r="J33" s="191"/>
      <c r="K33" s="191"/>
      <c r="L33" s="17">
        <f t="shared" si="1"/>
        <v>16295</v>
      </c>
      <c r="M33" s="173"/>
      <c r="N33" s="219"/>
      <c r="O33" s="100"/>
      <c r="P33" s="100"/>
      <c r="Q33" s="100"/>
      <c r="R33" s="12"/>
      <c r="S33" s="12"/>
      <c r="T33" s="12"/>
    </row>
    <row r="34" spans="2:20" x14ac:dyDescent="0.5">
      <c r="B34" s="29"/>
      <c r="C34" s="12"/>
      <c r="D34" s="12"/>
      <c r="E34" s="12" t="s">
        <v>22</v>
      </c>
      <c r="F34" s="223">
        <f>'SAO - DSC'!F32</f>
        <v>95606</v>
      </c>
      <c r="G34" s="190"/>
      <c r="H34" s="190"/>
      <c r="I34" s="190"/>
      <c r="J34" s="191"/>
      <c r="K34" s="191"/>
      <c r="L34" s="17">
        <f t="shared" si="1"/>
        <v>95606</v>
      </c>
      <c r="M34" s="173"/>
      <c r="N34" s="219"/>
      <c r="O34" s="100"/>
      <c r="P34" s="101"/>
      <c r="Q34" s="100"/>
      <c r="R34" s="12"/>
      <c r="S34" s="12"/>
      <c r="T34" s="12"/>
    </row>
    <row r="35" spans="2:20" x14ac:dyDescent="0.5">
      <c r="B35" s="29"/>
      <c r="C35" s="12"/>
      <c r="D35" s="12"/>
      <c r="E35" s="12" t="s">
        <v>272</v>
      </c>
      <c r="F35" s="223">
        <f>'SAO - DSC'!F33</f>
        <v>3334</v>
      </c>
      <c r="G35" s="190"/>
      <c r="H35" s="190"/>
      <c r="I35" s="190"/>
      <c r="J35" s="191"/>
      <c r="K35" s="191"/>
      <c r="L35" s="17">
        <f t="shared" si="1"/>
        <v>3334</v>
      </c>
      <c r="M35" s="173"/>
      <c r="N35" s="219"/>
      <c r="O35" s="100"/>
      <c r="P35" s="101"/>
      <c r="Q35" s="100"/>
      <c r="R35" s="12"/>
      <c r="S35" s="12"/>
      <c r="T35" s="12"/>
    </row>
    <row r="36" spans="2:20" x14ac:dyDescent="0.5">
      <c r="B36" s="29"/>
      <c r="C36" s="12"/>
      <c r="D36" s="12"/>
      <c r="E36" s="12" t="s">
        <v>228</v>
      </c>
      <c r="F36" s="223">
        <f>'SAO - DSC'!F34</f>
        <v>21712</v>
      </c>
      <c r="G36" s="190"/>
      <c r="H36" s="190"/>
      <c r="I36" s="190"/>
      <c r="J36" s="191"/>
      <c r="K36" s="191"/>
      <c r="L36" s="17">
        <f t="shared" si="1"/>
        <v>21712</v>
      </c>
      <c r="M36" s="173"/>
      <c r="N36" s="219"/>
      <c r="O36" s="100"/>
      <c r="P36" s="101"/>
      <c r="Q36" s="100"/>
      <c r="R36" s="12"/>
      <c r="S36" s="12"/>
      <c r="T36" s="12"/>
    </row>
    <row r="37" spans="2:20" x14ac:dyDescent="0.5">
      <c r="B37" s="29"/>
      <c r="C37" s="12"/>
      <c r="D37" s="12"/>
      <c r="E37" s="12" t="s">
        <v>273</v>
      </c>
      <c r="F37" s="223">
        <f>'SAO - DSC'!F35</f>
        <v>2828</v>
      </c>
      <c r="G37" s="190"/>
      <c r="H37" s="190"/>
      <c r="I37" s="190"/>
      <c r="J37" s="191"/>
      <c r="K37" s="191"/>
      <c r="L37" s="17">
        <f t="shared" si="1"/>
        <v>2828</v>
      </c>
      <c r="M37" s="173"/>
      <c r="N37" s="219"/>
      <c r="O37" s="100"/>
      <c r="P37" s="101"/>
      <c r="Q37" s="100"/>
      <c r="R37" s="12"/>
      <c r="S37" s="12"/>
      <c r="T37" s="12"/>
    </row>
    <row r="38" spans="2:20" x14ac:dyDescent="0.5">
      <c r="B38" s="29"/>
      <c r="C38" s="12"/>
      <c r="D38" s="12"/>
      <c r="E38" s="12" t="s">
        <v>274</v>
      </c>
      <c r="F38" s="223">
        <f>'SAO - DSC'!F36</f>
        <v>1202</v>
      </c>
      <c r="G38" s="190"/>
      <c r="H38" s="190"/>
      <c r="I38" s="190"/>
      <c r="J38" s="191"/>
      <c r="K38" s="191"/>
      <c r="L38" s="17">
        <f t="shared" si="1"/>
        <v>1202</v>
      </c>
      <c r="M38" s="173"/>
      <c r="N38" s="219"/>
      <c r="O38" s="100"/>
      <c r="P38" s="101"/>
      <c r="Q38" s="100"/>
      <c r="R38" s="12"/>
      <c r="S38" s="12"/>
      <c r="T38" s="12"/>
    </row>
    <row r="39" spans="2:20" x14ac:dyDescent="0.5">
      <c r="B39" s="29"/>
      <c r="C39" s="12"/>
      <c r="D39" s="12"/>
      <c r="E39" s="12" t="s">
        <v>100</v>
      </c>
      <c r="F39" s="223">
        <f>'SAO - DSC'!F37</f>
        <v>-1000</v>
      </c>
      <c r="G39" s="190"/>
      <c r="H39" s="190"/>
      <c r="I39" s="190"/>
      <c r="J39" s="191"/>
      <c r="K39" s="191"/>
      <c r="L39" s="17">
        <f t="shared" si="1"/>
        <v>-1000</v>
      </c>
      <c r="M39" s="173"/>
      <c r="N39" s="219"/>
      <c r="O39" s="100"/>
      <c r="P39" s="100"/>
      <c r="Q39" s="100"/>
      <c r="R39" s="12"/>
      <c r="S39" s="12"/>
      <c r="T39" s="12"/>
    </row>
    <row r="40" spans="2:20" ht="18" x14ac:dyDescent="0.5">
      <c r="B40" s="29"/>
      <c r="C40" s="12"/>
      <c r="D40" s="12"/>
      <c r="E40" s="12" t="s">
        <v>18</v>
      </c>
      <c r="F40" s="225">
        <f>'SAO - DSC'!F38</f>
        <v>4944</v>
      </c>
      <c r="G40" s="190"/>
      <c r="H40" s="192"/>
      <c r="I40" s="190"/>
      <c r="J40" s="191" t="s">
        <v>63</v>
      </c>
      <c r="K40" s="191"/>
      <c r="L40" s="196">
        <f t="shared" si="1"/>
        <v>4944</v>
      </c>
      <c r="M40" s="170"/>
      <c r="N40" s="222" t="s">
        <v>195</v>
      </c>
      <c r="O40" s="100"/>
      <c r="P40" s="100"/>
      <c r="Q40" s="100"/>
      <c r="R40" s="12"/>
      <c r="S40" s="12"/>
      <c r="T40" s="12"/>
    </row>
    <row r="41" spans="2:20" x14ac:dyDescent="0.5">
      <c r="B41" s="29"/>
      <c r="C41" s="12"/>
      <c r="D41" s="96" t="s">
        <v>242</v>
      </c>
      <c r="E41" s="12"/>
      <c r="F41" s="223">
        <f>SUM(F21:F40)</f>
        <v>1360692</v>
      </c>
      <c r="G41" s="190"/>
      <c r="H41" s="190">
        <f>SUM(H21:H40)</f>
        <v>97269.81868280092</v>
      </c>
      <c r="I41" s="190"/>
      <c r="J41" s="193"/>
      <c r="K41" s="193"/>
      <c r="L41" s="17">
        <f>SUM(L21:L40)</f>
        <v>1457961.818682801</v>
      </c>
      <c r="M41" s="173"/>
      <c r="N41" s="219"/>
      <c r="O41" s="100"/>
      <c r="P41" s="100"/>
      <c r="Q41" s="100"/>
      <c r="R41" s="12"/>
      <c r="S41" s="12"/>
      <c r="T41" s="12"/>
    </row>
    <row r="42" spans="2:20" x14ac:dyDescent="0.5">
      <c r="B42" s="29"/>
      <c r="C42" s="12"/>
      <c r="D42" s="12" t="s">
        <v>10</v>
      </c>
      <c r="E42" s="12"/>
      <c r="F42" s="223">
        <v>1459231</v>
      </c>
      <c r="G42" s="190"/>
      <c r="H42" s="190"/>
      <c r="I42" s="190"/>
      <c r="J42" s="193" t="s">
        <v>160</v>
      </c>
      <c r="K42" s="193"/>
      <c r="L42" s="17">
        <f t="shared" ref="L42" si="2">F42+H42</f>
        <v>1459231</v>
      </c>
      <c r="M42" s="173"/>
      <c r="N42" s="222" t="s">
        <v>226</v>
      </c>
      <c r="O42" s="100"/>
      <c r="P42" s="100"/>
      <c r="Q42" s="100"/>
      <c r="R42" s="12"/>
      <c r="S42" s="12"/>
      <c r="T42" s="12"/>
    </row>
    <row r="43" spans="2:20" ht="18" x14ac:dyDescent="0.5">
      <c r="B43" s="29"/>
      <c r="C43" s="12"/>
      <c r="D43" s="12" t="s">
        <v>11</v>
      </c>
      <c r="E43" s="12"/>
      <c r="F43" s="227">
        <v>3296</v>
      </c>
      <c r="G43" s="17"/>
      <c r="H43" s="196"/>
      <c r="I43" s="17"/>
      <c r="J43" s="191" t="s">
        <v>168</v>
      </c>
      <c r="K43" s="191"/>
      <c r="L43" s="196">
        <f>F43+H43</f>
        <v>3296</v>
      </c>
      <c r="M43" s="170"/>
      <c r="N43" s="222" t="s">
        <v>217</v>
      </c>
      <c r="O43" s="100"/>
      <c r="P43" s="100"/>
      <c r="Q43" s="100"/>
      <c r="R43" s="12"/>
      <c r="S43" s="12"/>
      <c r="T43" s="12"/>
    </row>
    <row r="44" spans="2:20" x14ac:dyDescent="0.5">
      <c r="B44" s="29"/>
      <c r="C44" s="96" t="s">
        <v>5</v>
      </c>
      <c r="D44" s="12"/>
      <c r="E44" s="12"/>
      <c r="F44" s="225">
        <f>SUM(F41:F43)</f>
        <v>2823219</v>
      </c>
      <c r="G44" s="190"/>
      <c r="H44" s="194">
        <f>SUM(H41:H43)</f>
        <v>97269.81868280092</v>
      </c>
      <c r="I44" s="239"/>
      <c r="J44" s="193"/>
      <c r="K44" s="193"/>
      <c r="L44" s="192">
        <f>SUM(L41:L43)</f>
        <v>2920488.818682801</v>
      </c>
      <c r="M44" s="165"/>
      <c r="N44" s="219"/>
      <c r="O44" s="100"/>
      <c r="P44" s="100"/>
      <c r="Q44" s="100"/>
      <c r="R44" s="12"/>
      <c r="S44" s="12"/>
      <c r="T44" s="12"/>
    </row>
    <row r="45" spans="2:20" ht="16.149999999999999" thickBot="1" x14ac:dyDescent="0.55000000000000004">
      <c r="B45" s="29"/>
      <c r="C45" s="96" t="s">
        <v>23</v>
      </c>
      <c r="D45" s="12"/>
      <c r="E45" s="12"/>
      <c r="F45" s="228">
        <f>F17-F44</f>
        <v>-555213</v>
      </c>
      <c r="G45" s="163"/>
      <c r="H45" s="202">
        <f>H17-H44</f>
        <v>-97269.81868280092</v>
      </c>
      <c r="I45" s="163"/>
      <c r="J45" s="164"/>
      <c r="K45" s="164"/>
      <c r="L45" s="202">
        <f>L17-L44</f>
        <v>-652482.81868280098</v>
      </c>
      <c r="M45" s="165"/>
      <c r="N45" s="219"/>
      <c r="O45" s="100"/>
      <c r="P45" s="100"/>
      <c r="Q45" s="100"/>
      <c r="R45" s="12"/>
      <c r="S45" s="12"/>
      <c r="T45" s="12"/>
    </row>
    <row r="46" spans="2:20" ht="16.149999999999999" thickTop="1" x14ac:dyDescent="0.5">
      <c r="B46" s="29"/>
      <c r="C46" s="12"/>
      <c r="D46" s="12"/>
      <c r="E46" s="12"/>
      <c r="F46" s="172"/>
      <c r="G46" s="172"/>
      <c r="H46" s="12"/>
      <c r="I46" s="12"/>
      <c r="J46" s="164"/>
      <c r="K46" s="164"/>
      <c r="L46" s="172"/>
      <c r="M46" s="173"/>
      <c r="N46" s="219"/>
      <c r="O46" s="100"/>
      <c r="P46" s="100"/>
      <c r="Q46" s="100"/>
      <c r="R46" s="12"/>
      <c r="S46" s="12"/>
      <c r="T46" s="12"/>
    </row>
    <row r="47" spans="2:20" ht="18" x14ac:dyDescent="0.5">
      <c r="B47" s="29"/>
      <c r="C47" s="606" t="s">
        <v>33</v>
      </c>
      <c r="D47" s="606"/>
      <c r="E47" s="606"/>
      <c r="F47" s="606"/>
      <c r="G47" s="606"/>
      <c r="H47" s="606"/>
      <c r="I47" s="606"/>
      <c r="J47" s="606"/>
      <c r="K47" s="606"/>
      <c r="L47" s="606"/>
      <c r="M47" s="67"/>
      <c r="N47" s="219"/>
      <c r="O47" s="163"/>
      <c r="P47" s="175"/>
      <c r="Q47" s="100"/>
      <c r="R47" s="12"/>
      <c r="S47" s="12"/>
      <c r="T47" s="12"/>
    </row>
    <row r="48" spans="2:20" x14ac:dyDescent="0.5">
      <c r="B48" s="29"/>
      <c r="C48" s="142" t="s">
        <v>6</v>
      </c>
      <c r="D48" s="142"/>
      <c r="E48" s="12"/>
      <c r="F48" s="163"/>
      <c r="H48" s="12"/>
      <c r="I48" s="12"/>
      <c r="J48" s="164"/>
      <c r="K48" s="164"/>
      <c r="L48" s="163">
        <f>L44</f>
        <v>2920488.818682801</v>
      </c>
      <c r="M48" s="165"/>
      <c r="N48" s="219"/>
      <c r="O48" s="172"/>
      <c r="P48" s="100"/>
      <c r="Q48" s="100"/>
      <c r="R48" s="12"/>
      <c r="S48" s="12"/>
      <c r="T48" s="12"/>
    </row>
    <row r="49" spans="2:20" x14ac:dyDescent="0.5">
      <c r="B49" s="29"/>
      <c r="C49" s="142" t="s">
        <v>196</v>
      </c>
      <c r="D49" s="14"/>
      <c r="E49" s="142" t="s">
        <v>197</v>
      </c>
      <c r="F49" s="12"/>
      <c r="H49" s="12"/>
      <c r="I49" s="12"/>
      <c r="J49" s="176"/>
      <c r="K49" s="176"/>
      <c r="L49" s="143">
        <v>0.88</v>
      </c>
      <c r="M49" s="68"/>
      <c r="N49" s="219"/>
      <c r="O49" s="172"/>
      <c r="P49" s="100"/>
      <c r="Q49" s="100"/>
      <c r="R49" s="12"/>
      <c r="S49" s="12"/>
      <c r="T49" s="12"/>
    </row>
    <row r="50" spans="2:20" ht="18" x14ac:dyDescent="0.5">
      <c r="B50" s="29"/>
      <c r="C50" s="144" t="s">
        <v>198</v>
      </c>
      <c r="D50" s="144"/>
      <c r="E50" s="12"/>
      <c r="F50" s="12"/>
      <c r="H50" s="12"/>
      <c r="I50" s="12"/>
      <c r="J50" s="176"/>
      <c r="K50" s="176"/>
      <c r="L50" s="142">
        <f>ROUND(L48/L49,0)</f>
        <v>3318737</v>
      </c>
      <c r="M50" s="170"/>
      <c r="N50" s="219"/>
      <c r="O50" s="163"/>
      <c r="P50" s="100"/>
      <c r="Q50" s="100"/>
      <c r="R50" s="12"/>
      <c r="S50" s="12"/>
      <c r="T50" s="12"/>
    </row>
    <row r="51" spans="2:20" x14ac:dyDescent="0.5">
      <c r="B51" s="29"/>
      <c r="C51" s="144" t="s">
        <v>199</v>
      </c>
      <c r="D51" s="144"/>
      <c r="E51" s="144"/>
      <c r="F51" s="12"/>
      <c r="H51" s="12"/>
      <c r="I51" s="12"/>
      <c r="J51" s="164" t="s">
        <v>218</v>
      </c>
      <c r="K51" s="164"/>
      <c r="L51" s="145">
        <f>'Debt Sch'!E19+'Debt Sch'!G19</f>
        <v>77752</v>
      </c>
      <c r="M51" s="165"/>
      <c r="N51" s="219"/>
      <c r="O51" s="180"/>
      <c r="P51" s="100"/>
      <c r="Q51" s="100"/>
      <c r="R51" s="12"/>
      <c r="S51" s="12"/>
      <c r="T51" s="12"/>
    </row>
    <row r="52" spans="2:20" x14ac:dyDescent="0.5">
      <c r="B52" s="29"/>
      <c r="C52" s="144" t="s">
        <v>24</v>
      </c>
      <c r="D52" s="144"/>
      <c r="E52" s="12"/>
      <c r="F52" s="12"/>
      <c r="H52" s="12"/>
      <c r="I52" s="12"/>
      <c r="J52" s="164"/>
      <c r="K52" s="164"/>
      <c r="L52" s="142">
        <f>SUM(L50:L51)</f>
        <v>3396489</v>
      </c>
      <c r="M52" s="181"/>
      <c r="N52" s="219"/>
      <c r="O52" s="180"/>
      <c r="P52" s="100"/>
      <c r="Q52" s="100"/>
      <c r="R52" s="12"/>
      <c r="S52" s="12"/>
      <c r="T52" s="12"/>
    </row>
    <row r="53" spans="2:20" x14ac:dyDescent="0.5">
      <c r="B53" s="29"/>
      <c r="C53" s="218" t="s">
        <v>59</v>
      </c>
      <c r="D53" s="218"/>
      <c r="E53" s="218" t="s">
        <v>7</v>
      </c>
      <c r="F53" s="12"/>
      <c r="H53" s="12"/>
      <c r="I53" s="12"/>
      <c r="J53" s="164"/>
      <c r="K53" s="164"/>
      <c r="L53" s="142">
        <f>'SAO - DSC'!L52</f>
        <v>-60846</v>
      </c>
      <c r="M53" s="181"/>
      <c r="N53" s="219"/>
      <c r="O53" s="180"/>
      <c r="P53" s="100"/>
      <c r="Q53" s="100"/>
      <c r="R53" s="12"/>
      <c r="S53" s="12"/>
      <c r="T53" s="12"/>
    </row>
    <row r="54" spans="2:20" x14ac:dyDescent="0.5">
      <c r="B54" s="29"/>
      <c r="C54" s="218"/>
      <c r="D54" s="218"/>
      <c r="E54" s="218" t="s">
        <v>137</v>
      </c>
      <c r="F54" s="12"/>
      <c r="H54" s="12"/>
      <c r="I54" s="12"/>
      <c r="J54" s="164"/>
      <c r="K54" s="164"/>
      <c r="L54" s="142" t="e">
        <f>'SAO - DSC'!#REF!</f>
        <v>#REF!</v>
      </c>
      <c r="M54" s="181"/>
      <c r="N54" s="219"/>
      <c r="O54" s="180"/>
      <c r="P54" s="100"/>
      <c r="Q54" s="100"/>
      <c r="R54" s="12"/>
      <c r="S54" s="12"/>
      <c r="T54" s="12"/>
    </row>
    <row r="55" spans="2:20" x14ac:dyDescent="0.5">
      <c r="B55" s="29"/>
      <c r="C55" s="218"/>
      <c r="D55" s="218"/>
      <c r="E55" s="218" t="s">
        <v>138</v>
      </c>
      <c r="F55" s="12"/>
      <c r="H55" s="12"/>
      <c r="I55" s="12"/>
      <c r="J55" s="164"/>
      <c r="K55" s="164"/>
      <c r="L55" s="142" t="e">
        <f>'SAO - DSC'!#REF!</f>
        <v>#REF!</v>
      </c>
      <c r="M55" s="181"/>
      <c r="N55" s="219"/>
      <c r="O55" s="180"/>
      <c r="P55" s="100"/>
      <c r="Q55" s="100"/>
      <c r="R55" s="12"/>
      <c r="S55" s="12"/>
      <c r="T55" s="12"/>
    </row>
    <row r="56" spans="2:20" x14ac:dyDescent="0.5">
      <c r="B56" s="29"/>
      <c r="C56" s="218"/>
      <c r="D56" s="218"/>
      <c r="E56" s="218" t="s">
        <v>36</v>
      </c>
      <c r="F56" s="12"/>
      <c r="H56" s="12"/>
      <c r="I56" s="12"/>
      <c r="J56" s="164"/>
      <c r="K56" s="164"/>
      <c r="L56" s="142">
        <f>'SAO - DSC'!L53</f>
        <v>-10548</v>
      </c>
      <c r="M56" s="181"/>
      <c r="N56" s="219"/>
      <c r="O56" s="180"/>
      <c r="P56" s="100"/>
      <c r="Q56" s="100"/>
      <c r="R56" s="12"/>
      <c r="S56" s="12"/>
      <c r="T56" s="12"/>
    </row>
    <row r="57" spans="2:20" x14ac:dyDescent="0.5">
      <c r="B57" s="29"/>
      <c r="C57" s="218"/>
      <c r="D57" s="218"/>
      <c r="E57" s="116" t="s">
        <v>111</v>
      </c>
      <c r="F57" s="12"/>
      <c r="H57" s="12"/>
      <c r="I57" s="12"/>
      <c r="J57" s="164"/>
      <c r="K57" s="164"/>
      <c r="L57" s="145">
        <f>'SAO - DSC'!L54</f>
        <v>-348</v>
      </c>
      <c r="M57" s="181"/>
      <c r="N57" s="219"/>
      <c r="O57" s="180"/>
      <c r="P57" s="100"/>
      <c r="Q57" s="100"/>
      <c r="R57" s="12"/>
      <c r="S57" s="12"/>
      <c r="T57" s="12"/>
    </row>
    <row r="58" spans="2:20" ht="18" x14ac:dyDescent="0.5">
      <c r="B58" s="29"/>
      <c r="C58" s="142" t="s">
        <v>201</v>
      </c>
      <c r="D58" s="142"/>
      <c r="E58" s="14"/>
      <c r="F58" s="12"/>
      <c r="H58" s="12"/>
      <c r="I58" s="12"/>
      <c r="J58" s="164"/>
      <c r="K58" s="164"/>
      <c r="L58" s="142" t="e">
        <f>SUM(L52:L57)</f>
        <v>#REF!</v>
      </c>
      <c r="M58" s="170"/>
      <c r="N58" s="219"/>
      <c r="P58" s="100"/>
      <c r="Q58" s="100"/>
      <c r="R58" s="182"/>
      <c r="S58" s="12"/>
      <c r="T58" s="12"/>
    </row>
    <row r="59" spans="2:20" x14ac:dyDescent="0.5">
      <c r="B59" s="29"/>
      <c r="C59" s="142" t="s">
        <v>200</v>
      </c>
      <c r="D59" s="142" t="s">
        <v>202</v>
      </c>
      <c r="E59" s="12"/>
      <c r="F59" s="12"/>
      <c r="H59" s="12"/>
      <c r="I59" s="12"/>
      <c r="J59" s="164"/>
      <c r="K59" s="164"/>
      <c r="L59" s="145">
        <f>-L11</f>
        <v>-2207160</v>
      </c>
      <c r="M59" s="183"/>
      <c r="O59" s="172"/>
      <c r="P59" s="100"/>
      <c r="Q59" s="163"/>
      <c r="R59" s="12"/>
      <c r="S59" s="12"/>
      <c r="T59" s="12"/>
    </row>
    <row r="60" spans="2:20" ht="18.399999999999999" thickBot="1" x14ac:dyDescent="0.55000000000000004">
      <c r="B60" s="29"/>
      <c r="C60" s="142" t="s">
        <v>204</v>
      </c>
      <c r="D60" s="142"/>
      <c r="E60" s="12"/>
      <c r="F60" s="12"/>
      <c r="H60" s="12"/>
      <c r="I60" s="12"/>
      <c r="J60" s="164"/>
      <c r="K60" s="164"/>
      <c r="L60" s="146" t="e">
        <f>SUM(L58:L59)</f>
        <v>#REF!</v>
      </c>
      <c r="M60" s="170"/>
      <c r="N60" s="219"/>
      <c r="O60" s="146">
        <v>113443.38</v>
      </c>
      <c r="P60" s="100"/>
      <c r="Q60" s="100"/>
      <c r="R60" s="12"/>
      <c r="S60" s="12"/>
      <c r="T60" s="12"/>
    </row>
    <row r="61" spans="2:20" ht="16.5" thickTop="1" thickBot="1" x14ac:dyDescent="0.55000000000000004">
      <c r="B61" s="29"/>
      <c r="C61" s="142" t="s">
        <v>203</v>
      </c>
      <c r="D61" s="142"/>
      <c r="E61" s="12"/>
      <c r="F61" s="147"/>
      <c r="H61" s="12"/>
      <c r="I61" s="12"/>
      <c r="J61" s="164"/>
      <c r="K61" s="164"/>
      <c r="L61" s="147" t="e">
        <f>ROUND(L60/(-L59),4)</f>
        <v>#REF!</v>
      </c>
      <c r="M61" s="165"/>
      <c r="N61" s="219"/>
      <c r="O61" s="147">
        <v>0.29270000000000002</v>
      </c>
      <c r="P61" s="100"/>
      <c r="Q61" s="100"/>
      <c r="S61" s="12"/>
      <c r="T61" s="12"/>
    </row>
    <row r="62" spans="2:20" ht="15" customHeight="1" thickTop="1" x14ac:dyDescent="0.5">
      <c r="B62" s="31"/>
      <c r="C62" s="156"/>
      <c r="D62" s="156"/>
      <c r="E62" s="156"/>
      <c r="F62" s="156"/>
      <c r="G62" s="156"/>
      <c r="H62" s="156"/>
      <c r="I62" s="156"/>
      <c r="J62" s="185"/>
      <c r="K62" s="185"/>
      <c r="L62" s="156"/>
      <c r="M62" s="186"/>
    </row>
    <row r="63" spans="2:20" x14ac:dyDescent="0.5">
      <c r="J63" s="178"/>
      <c r="K63" s="178"/>
    </row>
    <row r="64" spans="2:20" x14ac:dyDescent="0.5">
      <c r="C64" s="12" t="s">
        <v>24</v>
      </c>
      <c r="J64" s="178"/>
      <c r="K64" s="178"/>
      <c r="L64" s="187">
        <f>L52</f>
        <v>3396489</v>
      </c>
    </row>
    <row r="65" spans="3:12" x14ac:dyDescent="0.5">
      <c r="C65" s="13" t="s">
        <v>200</v>
      </c>
      <c r="D65" s="13" t="s">
        <v>6</v>
      </c>
      <c r="J65" s="178"/>
      <c r="K65" s="178"/>
      <c r="L65" s="188">
        <f>-L48</f>
        <v>-2920488.818682801</v>
      </c>
    </row>
    <row r="66" spans="3:12" x14ac:dyDescent="0.5">
      <c r="D66" s="13" t="s">
        <v>208</v>
      </c>
      <c r="J66" s="178"/>
      <c r="K66" s="178"/>
      <c r="L66" s="189">
        <f>-'Debt Sch'!I19</f>
        <v>-73755</v>
      </c>
    </row>
    <row r="67" spans="3:12" x14ac:dyDescent="0.5">
      <c r="C67" s="13" t="s">
        <v>198</v>
      </c>
      <c r="J67" s="178"/>
      <c r="K67" s="178"/>
      <c r="L67" s="188">
        <f>SUM(L64:L66)</f>
        <v>402245.18131719902</v>
      </c>
    </row>
    <row r="68" spans="3:12" x14ac:dyDescent="0.5">
      <c r="C68" s="13" t="s">
        <v>209</v>
      </c>
      <c r="D68" s="13" t="s">
        <v>210</v>
      </c>
      <c r="J68" s="178"/>
      <c r="K68" s="178"/>
      <c r="L68" s="189">
        <f>+L42</f>
        <v>1459231</v>
      </c>
    </row>
    <row r="69" spans="3:12" ht="16.149999999999999" thickBot="1" x14ac:dyDescent="0.55000000000000004">
      <c r="C69" s="13" t="s">
        <v>211</v>
      </c>
      <c r="J69" s="178"/>
      <c r="K69" s="178"/>
      <c r="L69" s="184">
        <f>SUM(L67:L68)</f>
        <v>1861476.181317199</v>
      </c>
    </row>
    <row r="70" spans="3:12" ht="16.149999999999999" thickTop="1" x14ac:dyDescent="0.5"/>
  </sheetData>
  <mergeCells count="3">
    <mergeCell ref="C3:L3"/>
    <mergeCell ref="C4:L4"/>
    <mergeCell ref="C47:L4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244B-25A5-49C6-9C95-E6A8FE5A8C15}">
  <dimension ref="B3:X73"/>
  <sheetViews>
    <sheetView showGridLines="0" topLeftCell="A33" workbookViewId="0">
      <selection activeCell="C44" sqref="C44:C52"/>
    </sheetView>
  </sheetViews>
  <sheetFormatPr defaultColWidth="8.88671875" defaultRowHeight="15" x14ac:dyDescent="0.4"/>
  <cols>
    <col min="1" max="1" width="9.6640625" style="116" customWidth="1"/>
    <col min="2" max="2" width="1.109375" style="116" customWidth="1"/>
    <col min="3" max="3" width="4.77734375" style="116" customWidth="1"/>
    <col min="4" max="5" width="10.77734375" style="116" customWidth="1"/>
    <col min="6" max="6" width="11.77734375" style="116" customWidth="1"/>
    <col min="7" max="7" width="1.77734375" style="116" customWidth="1"/>
    <col min="8" max="8" width="10.77734375" style="116" customWidth="1"/>
    <col min="9" max="9" width="1.21875" style="116" customWidth="1"/>
    <col min="10" max="10" width="10.77734375" style="116" customWidth="1"/>
    <col min="11" max="11" width="1.77734375" style="116" customWidth="1"/>
    <col min="12" max="12" width="10.77734375" style="116" customWidth="1"/>
    <col min="13" max="13" width="1.77734375" style="116" customWidth="1"/>
    <col min="14" max="14" width="12.77734375" style="116" customWidth="1"/>
    <col min="15" max="15" width="1.77734375" style="116" customWidth="1"/>
    <col min="16" max="16" width="12.77734375" style="116" customWidth="1"/>
    <col min="17" max="17" width="1.77734375" style="116" customWidth="1"/>
    <col min="18" max="20" width="9.6640625" style="116" customWidth="1"/>
    <col min="21" max="24" width="12.77734375" style="116" customWidth="1"/>
    <col min="25" max="203" width="9.6640625" style="116" customWidth="1"/>
    <col min="204" max="16384" width="8.88671875" style="116"/>
  </cols>
  <sheetData>
    <row r="3" spans="2:24" x14ac:dyDescent="0.4">
      <c r="B3" s="152"/>
      <c r="C3" s="566"/>
      <c r="D3" s="309"/>
      <c r="E3" s="309"/>
      <c r="F3" s="309"/>
      <c r="G3" s="309"/>
      <c r="H3" s="309"/>
      <c r="I3" s="309"/>
      <c r="J3" s="583"/>
      <c r="K3" s="583"/>
      <c r="L3" s="309"/>
      <c r="M3" s="309"/>
      <c r="N3" s="661" t="s">
        <v>237</v>
      </c>
      <c r="O3" s="661"/>
      <c r="P3" s="661"/>
      <c r="Q3" s="401"/>
    </row>
    <row r="4" spans="2:24" x14ac:dyDescent="0.4">
      <c r="B4" s="153"/>
      <c r="C4" s="517" t="s">
        <v>720</v>
      </c>
      <c r="F4" s="657" t="s">
        <v>235</v>
      </c>
      <c r="G4" s="657"/>
      <c r="H4" s="657"/>
      <c r="J4" s="657" t="s">
        <v>236</v>
      </c>
      <c r="K4" s="657"/>
      <c r="L4" s="657"/>
      <c r="N4" s="243" t="s">
        <v>681</v>
      </c>
      <c r="P4" s="243" t="s">
        <v>232</v>
      </c>
      <c r="Q4" s="549"/>
    </row>
    <row r="5" spans="2:24" x14ac:dyDescent="0.4">
      <c r="B5" s="153"/>
      <c r="C5" s="579" t="s">
        <v>51</v>
      </c>
      <c r="D5" s="142">
        <v>2000</v>
      </c>
      <c r="E5" s="514" t="s">
        <v>188</v>
      </c>
      <c r="F5" s="550">
        <f>'YR 2 Rate Comp'!F11</f>
        <v>23.83</v>
      </c>
      <c r="G5" s="550"/>
      <c r="H5" s="116" t="s">
        <v>241</v>
      </c>
      <c r="J5" s="550">
        <f>'YR 2 Rate Comp'!L11</f>
        <v>27.33</v>
      </c>
      <c r="K5" s="550"/>
      <c r="L5" s="116" t="s">
        <v>241</v>
      </c>
      <c r="N5" s="550">
        <f>J5-F5</f>
        <v>3.5</v>
      </c>
      <c r="O5" s="550"/>
      <c r="P5" s="585">
        <f>ROUND(N5/F5,4)</f>
        <v>0.1469</v>
      </c>
      <c r="Q5" s="549"/>
      <c r="S5" s="142">
        <f>D5</f>
        <v>2000</v>
      </c>
      <c r="U5" s="404">
        <f>F5</f>
        <v>23.83</v>
      </c>
      <c r="V5" s="404">
        <f>J5</f>
        <v>27.33</v>
      </c>
    </row>
    <row r="6" spans="2:24" x14ac:dyDescent="0.4">
      <c r="B6" s="153"/>
      <c r="C6" s="579" t="s">
        <v>52</v>
      </c>
      <c r="D6" s="142">
        <v>4000</v>
      </c>
      <c r="E6" s="514" t="s">
        <v>188</v>
      </c>
      <c r="F6" s="577">
        <f>'YR 2 Rate Comp'!F12</f>
        <v>6.8900000000000003E-3</v>
      </c>
      <c r="G6" s="551"/>
      <c r="H6" s="116" t="s">
        <v>240</v>
      </c>
      <c r="J6" s="577">
        <f>'YR 2 Rate Comp'!L12</f>
        <v>7.9100000000000004E-3</v>
      </c>
      <c r="K6" s="551"/>
      <c r="L6" s="116" t="s">
        <v>240</v>
      </c>
      <c r="M6" s="552"/>
      <c r="N6" s="577">
        <f>J6-F6</f>
        <v>1.0200000000000001E-3</v>
      </c>
      <c r="O6" s="550"/>
      <c r="P6" s="585">
        <f t="shared" ref="P6:P9" si="0">ROUND(N6/F6,4)</f>
        <v>0.14799999999999999</v>
      </c>
      <c r="Q6" s="549"/>
      <c r="S6" s="553">
        <f>F59-S5</f>
        <v>2008</v>
      </c>
      <c r="U6" s="116">
        <f>ROUND(S6*F6,2)</f>
        <v>13.84</v>
      </c>
      <c r="V6" s="116">
        <f>ROUND(S6*J6,2)</f>
        <v>15.88</v>
      </c>
    </row>
    <row r="7" spans="2:24" x14ac:dyDescent="0.4">
      <c r="B7" s="153"/>
      <c r="C7" s="579" t="s">
        <v>52</v>
      </c>
      <c r="D7" s="142">
        <v>44000</v>
      </c>
      <c r="E7" s="514" t="s">
        <v>188</v>
      </c>
      <c r="F7" s="577">
        <f>'YR 2 Rate Comp'!F13</f>
        <v>6.1200000000000004E-3</v>
      </c>
      <c r="G7" s="551"/>
      <c r="H7" s="116" t="s">
        <v>240</v>
      </c>
      <c r="J7" s="577">
        <f>'YR 2 Rate Comp'!L13</f>
        <v>7.0200000000000002E-3</v>
      </c>
      <c r="K7" s="551"/>
      <c r="L7" s="116" t="s">
        <v>240</v>
      </c>
      <c r="N7" s="577">
        <f>J7-F7</f>
        <v>8.9999999999999976E-4</v>
      </c>
      <c r="O7" s="550"/>
      <c r="P7" s="585">
        <f t="shared" si="0"/>
        <v>0.14710000000000001</v>
      </c>
      <c r="Q7" s="402"/>
      <c r="U7" s="404">
        <f>SUM(U5:U6)</f>
        <v>37.67</v>
      </c>
      <c r="V7" s="404">
        <f>SUM(V5:V6)</f>
        <v>43.21</v>
      </c>
      <c r="W7" s="404">
        <f>V7-U7</f>
        <v>5.5399999999999991</v>
      </c>
      <c r="X7" s="556">
        <f>ROUND(W7/U7,3)</f>
        <v>0.14699999999999999</v>
      </c>
    </row>
    <row r="8" spans="2:24" x14ac:dyDescent="0.4">
      <c r="B8" s="153"/>
      <c r="C8" s="579" t="s">
        <v>52</v>
      </c>
      <c r="D8" s="142">
        <v>50000</v>
      </c>
      <c r="E8" s="514" t="s">
        <v>188</v>
      </c>
      <c r="F8" s="577">
        <f>'YR 2 Rate Comp'!F14</f>
        <v>5.2700000000000004E-3</v>
      </c>
      <c r="G8" s="551"/>
      <c r="H8" s="116" t="s">
        <v>240</v>
      </c>
      <c r="J8" s="577">
        <f>'YR 2 Rate Comp'!L14</f>
        <v>6.0400000000000002E-3</v>
      </c>
      <c r="K8" s="551"/>
      <c r="L8" s="116" t="s">
        <v>240</v>
      </c>
      <c r="N8" s="577">
        <f>J8-F8</f>
        <v>7.6999999999999985E-4</v>
      </c>
      <c r="O8" s="550"/>
      <c r="P8" s="585">
        <f t="shared" si="0"/>
        <v>0.14610000000000001</v>
      </c>
      <c r="Q8" s="402"/>
      <c r="X8" s="501"/>
    </row>
    <row r="9" spans="2:24" x14ac:dyDescent="0.4">
      <c r="B9" s="153"/>
      <c r="C9" s="579" t="s">
        <v>114</v>
      </c>
      <c r="D9" s="142">
        <f>SUM(D5:D8)</f>
        <v>100000</v>
      </c>
      <c r="E9" s="514" t="s">
        <v>188</v>
      </c>
      <c r="F9" s="577">
        <f>'YR 2 Rate Comp'!F15</f>
        <v>4.3900000000000007E-3</v>
      </c>
      <c r="G9" s="551"/>
      <c r="H9" s="116" t="s">
        <v>240</v>
      </c>
      <c r="J9" s="577">
        <f>'YR 2 Rate Comp'!L15</f>
        <v>5.0300000000000006E-3</v>
      </c>
      <c r="K9" s="551"/>
      <c r="L9" s="116" t="s">
        <v>240</v>
      </c>
      <c r="N9" s="577">
        <f>J9-F9</f>
        <v>6.3999999999999994E-4</v>
      </c>
      <c r="O9" s="550"/>
      <c r="P9" s="585">
        <f t="shared" si="0"/>
        <v>0.14580000000000001</v>
      </c>
      <c r="Q9" s="402"/>
      <c r="X9" s="501"/>
    </row>
    <row r="10" spans="2:24" x14ac:dyDescent="0.4">
      <c r="B10" s="153"/>
      <c r="C10" s="517" t="s">
        <v>334</v>
      </c>
      <c r="E10" s="514"/>
      <c r="Q10" s="402"/>
      <c r="X10" s="501"/>
    </row>
    <row r="11" spans="2:24" x14ac:dyDescent="0.4">
      <c r="B11" s="153"/>
      <c r="C11" s="579" t="s">
        <v>51</v>
      </c>
      <c r="D11" s="142">
        <v>5000</v>
      </c>
      <c r="E11" s="514" t="s">
        <v>188</v>
      </c>
      <c r="F11" s="550">
        <f>'YR 2 Rate Comp'!F18</f>
        <v>45.25</v>
      </c>
      <c r="G11" s="550"/>
      <c r="H11" s="116" t="s">
        <v>241</v>
      </c>
      <c r="J11" s="550">
        <f>'YR 2 Rate Comp'!L18</f>
        <v>51.89</v>
      </c>
      <c r="K11" s="550"/>
      <c r="L11" s="116" t="s">
        <v>241</v>
      </c>
      <c r="N11" s="550">
        <f>J11-F11</f>
        <v>6.6400000000000006</v>
      </c>
      <c r="O11" s="550"/>
      <c r="P11" s="585">
        <f t="shared" ref="P11:P15" si="1">ROUND(N11/F11,4)</f>
        <v>0.1467</v>
      </c>
      <c r="Q11" s="402"/>
      <c r="S11" s="142">
        <f>D11</f>
        <v>5000</v>
      </c>
      <c r="U11" s="404">
        <f>F11</f>
        <v>45.25</v>
      </c>
      <c r="V11" s="404">
        <f>J11</f>
        <v>51.89</v>
      </c>
      <c r="X11" s="501"/>
    </row>
    <row r="12" spans="2:24" x14ac:dyDescent="0.4">
      <c r="B12" s="153"/>
      <c r="C12" s="579" t="s">
        <v>52</v>
      </c>
      <c r="D12" s="142">
        <v>1000</v>
      </c>
      <c r="E12" s="514" t="s">
        <v>188</v>
      </c>
      <c r="F12" s="577">
        <f>'YR 2 Rate Comp'!F19</f>
        <v>6.8900000000000003E-3</v>
      </c>
      <c r="G12" s="551"/>
      <c r="H12" s="116" t="s">
        <v>240</v>
      </c>
      <c r="J12" s="577">
        <f>'YR 2 Rate Comp'!L19</f>
        <v>7.9100000000000004E-3</v>
      </c>
      <c r="K12" s="551"/>
      <c r="L12" s="116" t="s">
        <v>240</v>
      </c>
      <c r="N12" s="577">
        <f>J12-F12</f>
        <v>1.0200000000000001E-3</v>
      </c>
      <c r="O12" s="550"/>
      <c r="P12" s="585">
        <f t="shared" si="1"/>
        <v>0.14799999999999999</v>
      </c>
      <c r="Q12" s="402"/>
      <c r="S12" s="553">
        <f>D12</f>
        <v>1000</v>
      </c>
      <c r="U12" s="116">
        <f>ROUND(S12*F12,2)</f>
        <v>6.89</v>
      </c>
      <c r="V12" s="116">
        <f>ROUND(S12*J12,2)</f>
        <v>7.91</v>
      </c>
      <c r="X12" s="501"/>
    </row>
    <row r="13" spans="2:24" x14ac:dyDescent="0.4">
      <c r="B13" s="153"/>
      <c r="C13" s="579" t="s">
        <v>52</v>
      </c>
      <c r="D13" s="142">
        <v>44000</v>
      </c>
      <c r="E13" s="514" t="s">
        <v>188</v>
      </c>
      <c r="F13" s="577">
        <f>'YR 2 Rate Comp'!F20</f>
        <v>6.1200000000000004E-3</v>
      </c>
      <c r="G13" s="551"/>
      <c r="H13" s="116" t="s">
        <v>240</v>
      </c>
      <c r="J13" s="577">
        <f>'YR 2 Rate Comp'!L20</f>
        <v>7.0200000000000002E-3</v>
      </c>
      <c r="K13" s="551"/>
      <c r="L13" s="116" t="s">
        <v>240</v>
      </c>
      <c r="N13" s="577">
        <f t="shared" ref="N13:N15" si="2">J13-F13</f>
        <v>8.9999999999999976E-4</v>
      </c>
      <c r="O13" s="550"/>
      <c r="P13" s="585">
        <f t="shared" si="1"/>
        <v>0.14710000000000001</v>
      </c>
      <c r="Q13" s="402"/>
      <c r="S13" s="553">
        <f>F60-S11-S12</f>
        <v>15116</v>
      </c>
      <c r="U13" s="116">
        <f>ROUND(S13*F13,2)</f>
        <v>92.51</v>
      </c>
      <c r="V13" s="116">
        <f>ROUND(S13*J13,2)</f>
        <v>106.11</v>
      </c>
    </row>
    <row r="14" spans="2:24" x14ac:dyDescent="0.4">
      <c r="B14" s="153"/>
      <c r="C14" s="579" t="s">
        <v>52</v>
      </c>
      <c r="D14" s="142">
        <v>50000</v>
      </c>
      <c r="E14" s="514" t="s">
        <v>188</v>
      </c>
      <c r="F14" s="577">
        <f>'YR 2 Rate Comp'!F21</f>
        <v>5.2700000000000004E-3</v>
      </c>
      <c r="G14" s="551"/>
      <c r="H14" s="116" t="s">
        <v>240</v>
      </c>
      <c r="J14" s="577">
        <f>'YR 2 Rate Comp'!L21</f>
        <v>6.0400000000000002E-3</v>
      </c>
      <c r="K14" s="551"/>
      <c r="L14" s="116" t="s">
        <v>240</v>
      </c>
      <c r="N14" s="577">
        <f t="shared" si="2"/>
        <v>7.6999999999999985E-4</v>
      </c>
      <c r="O14" s="550"/>
      <c r="P14" s="585">
        <f t="shared" si="1"/>
        <v>0.14610000000000001</v>
      </c>
      <c r="Q14" s="402"/>
      <c r="U14" s="404">
        <f>SUM(U11:U13)</f>
        <v>144.65</v>
      </c>
      <c r="V14" s="404">
        <f>SUM(V11:V13)</f>
        <v>165.91</v>
      </c>
      <c r="W14" s="404">
        <f>V14-U14</f>
        <v>21.259999999999991</v>
      </c>
      <c r="X14" s="554">
        <f>ROUND(W14/U14,2)</f>
        <v>0.15</v>
      </c>
    </row>
    <row r="15" spans="2:24" x14ac:dyDescent="0.4">
      <c r="B15" s="153"/>
      <c r="C15" s="579" t="s">
        <v>114</v>
      </c>
      <c r="D15" s="142">
        <f>SUM(D11:D14)</f>
        <v>100000</v>
      </c>
      <c r="E15" s="514" t="s">
        <v>188</v>
      </c>
      <c r="F15" s="577">
        <f>'YR 2 Rate Comp'!F22</f>
        <v>4.3900000000000007E-3</v>
      </c>
      <c r="G15" s="555"/>
      <c r="H15" s="116" t="s">
        <v>240</v>
      </c>
      <c r="J15" s="577">
        <f>'YR 2 Rate Comp'!L22</f>
        <v>5.0300000000000006E-3</v>
      </c>
      <c r="L15" s="116" t="s">
        <v>240</v>
      </c>
      <c r="N15" s="577">
        <f t="shared" si="2"/>
        <v>6.3999999999999994E-4</v>
      </c>
      <c r="O15" s="550"/>
      <c r="P15" s="585">
        <f t="shared" si="1"/>
        <v>0.14580000000000001</v>
      </c>
      <c r="Q15" s="402"/>
      <c r="X15" s="501"/>
    </row>
    <row r="16" spans="2:24" x14ac:dyDescent="0.4">
      <c r="B16" s="153"/>
      <c r="C16" s="592" t="s">
        <v>335</v>
      </c>
      <c r="D16" s="142"/>
      <c r="F16" s="405"/>
      <c r="N16" s="405"/>
      <c r="O16" s="555"/>
      <c r="P16" s="555"/>
      <c r="Q16" s="402"/>
      <c r="S16" s="142">
        <f>D17</f>
        <v>10000</v>
      </c>
      <c r="U16" s="404">
        <f>F17</f>
        <v>80.849999999999994</v>
      </c>
      <c r="V16" s="404">
        <f>J17</f>
        <v>92.71</v>
      </c>
      <c r="X16" s="501"/>
    </row>
    <row r="17" spans="2:24" x14ac:dyDescent="0.4">
      <c r="B17" s="153"/>
      <c r="C17" s="116" t="s">
        <v>51</v>
      </c>
      <c r="D17" s="142">
        <v>10000</v>
      </c>
      <c r="E17" s="116" t="s">
        <v>188</v>
      </c>
      <c r="F17" s="550">
        <f>'YR 2 Rate Comp'!F25</f>
        <v>80.849999999999994</v>
      </c>
      <c r="G17" s="550"/>
      <c r="H17" s="116" t="s">
        <v>241</v>
      </c>
      <c r="J17" s="550">
        <f>'YR 2 Rate Comp'!L25</f>
        <v>92.71</v>
      </c>
      <c r="L17" s="116" t="s">
        <v>241</v>
      </c>
      <c r="N17" s="550">
        <f>J17-F17</f>
        <v>11.86</v>
      </c>
      <c r="O17" s="550"/>
      <c r="P17" s="585">
        <f t="shared" ref="P17:P20" si="3">ROUND(N17/F17,4)</f>
        <v>0.1467</v>
      </c>
      <c r="Q17" s="402"/>
      <c r="S17" s="553">
        <f>D18</f>
        <v>40000</v>
      </c>
      <c r="U17" s="116">
        <f>ROUND(S17*F18,2)</f>
        <v>244.8</v>
      </c>
      <c r="V17" s="116">
        <f>ROUND(S17*J18,2)</f>
        <v>280.8</v>
      </c>
      <c r="X17" s="501"/>
    </row>
    <row r="18" spans="2:24" x14ac:dyDescent="0.4">
      <c r="B18" s="153"/>
      <c r="C18" s="116" t="s">
        <v>52</v>
      </c>
      <c r="D18" s="142">
        <v>40000</v>
      </c>
      <c r="E18" s="116" t="s">
        <v>188</v>
      </c>
      <c r="F18" s="577">
        <f>'YR 2 Rate Comp'!F26</f>
        <v>6.1200000000000004E-3</v>
      </c>
      <c r="G18" s="551"/>
      <c r="H18" s="116" t="s">
        <v>240</v>
      </c>
      <c r="J18" s="577">
        <f>'YR 2 Rate Comp'!L26</f>
        <v>7.0200000000000002E-3</v>
      </c>
      <c r="L18" s="116" t="s">
        <v>240</v>
      </c>
      <c r="N18" s="577">
        <f>J18-F18</f>
        <v>8.9999999999999976E-4</v>
      </c>
      <c r="O18" s="550"/>
      <c r="P18" s="585">
        <f t="shared" si="3"/>
        <v>0.14710000000000001</v>
      </c>
      <c r="Q18" s="402"/>
      <c r="S18" s="553">
        <f>D19</f>
        <v>50000</v>
      </c>
      <c r="U18" s="116">
        <f>ROUND(S18*F19,2)</f>
        <v>263.5</v>
      </c>
      <c r="V18" s="116">
        <f>ROUND(S18*J19,2)</f>
        <v>302</v>
      </c>
    </row>
    <row r="19" spans="2:24" x14ac:dyDescent="0.4">
      <c r="B19" s="153"/>
      <c r="C19" s="116" t="s">
        <v>52</v>
      </c>
      <c r="D19" s="142">
        <v>50000</v>
      </c>
      <c r="E19" s="116" t="s">
        <v>188</v>
      </c>
      <c r="F19" s="577">
        <f>'YR 2 Rate Comp'!F27</f>
        <v>5.2700000000000004E-3</v>
      </c>
      <c r="G19" s="551"/>
      <c r="H19" s="116" t="s">
        <v>240</v>
      </c>
      <c r="J19" s="577">
        <f>'YR 2 Rate Comp'!L27</f>
        <v>6.0400000000000002E-3</v>
      </c>
      <c r="L19" s="116" t="s">
        <v>240</v>
      </c>
      <c r="N19" s="577">
        <f>J19-F19</f>
        <v>7.6999999999999985E-4</v>
      </c>
      <c r="O19" s="550"/>
      <c r="P19" s="585">
        <f t="shared" si="3"/>
        <v>0.14610000000000001</v>
      </c>
      <c r="Q19" s="402"/>
      <c r="R19" s="142">
        <f>F61</f>
        <v>213248</v>
      </c>
      <c r="S19" s="553">
        <f>F61-S16-S17-S18</f>
        <v>113248</v>
      </c>
      <c r="U19" s="116">
        <f>ROUND(S19*F20,2)</f>
        <v>497.16</v>
      </c>
      <c r="V19" s="116">
        <f>ROUND(S19*J20,2)</f>
        <v>569.64</v>
      </c>
    </row>
    <row r="20" spans="2:24" x14ac:dyDescent="0.4">
      <c r="B20" s="153"/>
      <c r="C20" s="116" t="s">
        <v>114</v>
      </c>
      <c r="D20" s="142">
        <f>SUM(D16:D19)</f>
        <v>100000</v>
      </c>
      <c r="E20" s="116" t="s">
        <v>188</v>
      </c>
      <c r="F20" s="577">
        <f>'YR 2 Rate Comp'!F28</f>
        <v>4.3900000000000007E-3</v>
      </c>
      <c r="G20" s="551"/>
      <c r="H20" s="116" t="s">
        <v>240</v>
      </c>
      <c r="J20" s="577">
        <f>'YR 2 Rate Comp'!L28</f>
        <v>5.0300000000000006E-3</v>
      </c>
      <c r="L20" s="116" t="s">
        <v>240</v>
      </c>
      <c r="N20" s="577">
        <f>J20-F20</f>
        <v>6.3999999999999994E-4</v>
      </c>
      <c r="O20" s="550"/>
      <c r="P20" s="585">
        <f t="shared" si="3"/>
        <v>0.14580000000000001</v>
      </c>
      <c r="Q20" s="402"/>
      <c r="S20" s="142">
        <f>SUM(S16:S19)</f>
        <v>213248</v>
      </c>
      <c r="U20" s="404">
        <f>SUM(U16:U19)</f>
        <v>1086.31</v>
      </c>
      <c r="V20" s="404">
        <f>SUM(V16:V19)</f>
        <v>1245.1500000000001</v>
      </c>
      <c r="W20" s="404">
        <f>V20-U20</f>
        <v>158.84000000000015</v>
      </c>
      <c r="X20" s="554">
        <f>ROUND(W20/U20,2)</f>
        <v>0.15</v>
      </c>
    </row>
    <row r="21" spans="2:24" x14ac:dyDescent="0.4">
      <c r="B21" s="153"/>
      <c r="C21" s="517" t="s">
        <v>336</v>
      </c>
      <c r="E21" s="514"/>
      <c r="Q21" s="402"/>
      <c r="X21" s="501"/>
    </row>
    <row r="22" spans="2:24" x14ac:dyDescent="0.4">
      <c r="B22" s="153"/>
      <c r="C22" s="579" t="s">
        <v>51</v>
      </c>
      <c r="D22" s="142">
        <v>16000</v>
      </c>
      <c r="E22" s="514" t="s">
        <v>188</v>
      </c>
      <c r="F22" s="550">
        <f>'YR 2 Rate Comp'!F31</f>
        <v>118.66999999999999</v>
      </c>
      <c r="G22" s="550"/>
      <c r="H22" s="116" t="s">
        <v>241</v>
      </c>
      <c r="J22" s="550">
        <f>'YR 2 Rate Comp'!L31</f>
        <v>136.09</v>
      </c>
      <c r="K22" s="550"/>
      <c r="L22" s="116" t="s">
        <v>241</v>
      </c>
      <c r="N22" s="550">
        <f>J22-F22</f>
        <v>17.420000000000016</v>
      </c>
      <c r="O22" s="550"/>
      <c r="P22" s="585">
        <f t="shared" ref="P22:P52" si="4">ROUND(N22/F22,4)</f>
        <v>0.14680000000000001</v>
      </c>
      <c r="Q22" s="402"/>
      <c r="S22" s="142">
        <f>D22</f>
        <v>16000</v>
      </c>
      <c r="U22" s="404">
        <f>F22</f>
        <v>118.66999999999999</v>
      </c>
      <c r="V22" s="404">
        <f>J22</f>
        <v>136.09</v>
      </c>
      <c r="X22" s="501"/>
    </row>
    <row r="23" spans="2:24" x14ac:dyDescent="0.4">
      <c r="B23" s="153"/>
      <c r="C23" s="116" t="s">
        <v>52</v>
      </c>
      <c r="D23" s="142">
        <v>34000</v>
      </c>
      <c r="E23" s="514" t="s">
        <v>188</v>
      </c>
      <c r="F23" s="577">
        <f>'YR 2 Rate Comp'!F32</f>
        <v>6.1200000000000004E-3</v>
      </c>
      <c r="G23" s="551"/>
      <c r="H23" s="116" t="s">
        <v>240</v>
      </c>
      <c r="J23" s="577">
        <f>'YR 2 Rate Comp'!L32</f>
        <v>7.0200000000000002E-3</v>
      </c>
      <c r="K23" s="551"/>
      <c r="L23" s="116" t="s">
        <v>240</v>
      </c>
      <c r="N23" s="577">
        <f>J23-F23</f>
        <v>8.9999999999999976E-4</v>
      </c>
      <c r="O23" s="550"/>
      <c r="P23" s="585">
        <f t="shared" si="4"/>
        <v>0.14710000000000001</v>
      </c>
      <c r="Q23" s="402"/>
      <c r="S23" s="553">
        <f>F62-S22</f>
        <v>28390</v>
      </c>
      <c r="U23" s="116">
        <f>ROUND(S23*F23,2)</f>
        <v>173.75</v>
      </c>
      <c r="V23" s="116">
        <f>ROUND(S23*J23,2)</f>
        <v>199.3</v>
      </c>
      <c r="X23" s="501"/>
    </row>
    <row r="24" spans="2:24" x14ac:dyDescent="0.4">
      <c r="B24" s="153"/>
      <c r="C24" s="116" t="s">
        <v>52</v>
      </c>
      <c r="D24" s="142">
        <v>50000</v>
      </c>
      <c r="E24" s="514" t="s">
        <v>188</v>
      </c>
      <c r="F24" s="577">
        <f>'YR 2 Rate Comp'!F33</f>
        <v>5.2700000000000004E-3</v>
      </c>
      <c r="G24" s="551"/>
      <c r="H24" s="116" t="s">
        <v>240</v>
      </c>
      <c r="J24" s="577">
        <f>'YR 2 Rate Comp'!L33</f>
        <v>6.0400000000000002E-3</v>
      </c>
      <c r="K24" s="551"/>
      <c r="L24" s="116" t="s">
        <v>240</v>
      </c>
      <c r="N24" s="577">
        <f t="shared" ref="N24:N25" si="5">J24-F24</f>
        <v>7.6999999999999985E-4</v>
      </c>
      <c r="O24" s="550"/>
      <c r="P24" s="585">
        <f t="shared" si="4"/>
        <v>0.14610000000000001</v>
      </c>
      <c r="Q24" s="402"/>
      <c r="U24" s="404">
        <f>SUM(U22:U23)</f>
        <v>292.41999999999996</v>
      </c>
      <c r="V24" s="404">
        <f>SUM(V22:V23)</f>
        <v>335.39</v>
      </c>
      <c r="W24" s="404">
        <f>V24-U24</f>
        <v>42.970000000000027</v>
      </c>
      <c r="X24" s="554">
        <f>ROUND(W24/U24,2)</f>
        <v>0.15</v>
      </c>
    </row>
    <row r="25" spans="2:24" x14ac:dyDescent="0.4">
      <c r="B25" s="153"/>
      <c r="C25" s="116" t="s">
        <v>114</v>
      </c>
      <c r="D25" s="142">
        <f>SUM(D21:D24)</f>
        <v>100000</v>
      </c>
      <c r="E25" s="514" t="s">
        <v>188</v>
      </c>
      <c r="F25" s="577">
        <f>'YR 2 Rate Comp'!F34</f>
        <v>4.3900000000000007E-3</v>
      </c>
      <c r="G25" s="551"/>
      <c r="H25" s="116" t="s">
        <v>240</v>
      </c>
      <c r="J25" s="577">
        <f>'YR 2 Rate Comp'!L34</f>
        <v>5.0300000000000006E-3</v>
      </c>
      <c r="K25" s="551"/>
      <c r="L25" s="116" t="s">
        <v>240</v>
      </c>
      <c r="N25" s="577">
        <f t="shared" si="5"/>
        <v>6.3999999999999994E-4</v>
      </c>
      <c r="O25" s="550"/>
      <c r="P25" s="585">
        <f t="shared" si="4"/>
        <v>0.14580000000000001</v>
      </c>
      <c r="Q25" s="402"/>
    </row>
    <row r="26" spans="2:24" x14ac:dyDescent="0.4">
      <c r="B26" s="153"/>
      <c r="C26" s="592" t="s">
        <v>337</v>
      </c>
      <c r="D26" s="142"/>
      <c r="Q26" s="402"/>
    </row>
    <row r="27" spans="2:24" x14ac:dyDescent="0.4">
      <c r="B27" s="153"/>
      <c r="C27" s="116" t="s">
        <v>51</v>
      </c>
      <c r="D27" s="142">
        <v>25000</v>
      </c>
      <c r="E27" s="116" t="s">
        <v>188</v>
      </c>
      <c r="F27" s="550">
        <f>'YR 2 Rate Comp'!F37</f>
        <v>192.65</v>
      </c>
      <c r="H27" s="116" t="s">
        <v>241</v>
      </c>
      <c r="J27" s="550">
        <f>'YR 2 Rate Comp'!L37</f>
        <v>220.93</v>
      </c>
      <c r="L27" s="116" t="s">
        <v>241</v>
      </c>
      <c r="N27" s="550">
        <f>J27-F27</f>
        <v>28.28</v>
      </c>
      <c r="O27" s="550"/>
      <c r="P27" s="585">
        <f t="shared" si="4"/>
        <v>0.14680000000000001</v>
      </c>
      <c r="Q27" s="402"/>
    </row>
    <row r="28" spans="2:24" x14ac:dyDescent="0.4">
      <c r="B28" s="153"/>
      <c r="C28" s="116" t="s">
        <v>52</v>
      </c>
      <c r="D28" s="142">
        <v>25000</v>
      </c>
      <c r="E28" s="116" t="s">
        <v>188</v>
      </c>
      <c r="F28" s="577">
        <f>'YR 2 Rate Comp'!F38</f>
        <v>6.1200000000000004E-3</v>
      </c>
      <c r="H28" s="116" t="s">
        <v>240</v>
      </c>
      <c r="J28" s="577">
        <f>'YR 2 Rate Comp'!L38</f>
        <v>7.0200000000000002E-3</v>
      </c>
      <c r="L28" s="116" t="s">
        <v>240</v>
      </c>
      <c r="N28" s="577">
        <f>J28-F28</f>
        <v>8.9999999999999976E-4</v>
      </c>
      <c r="O28" s="550"/>
      <c r="P28" s="585">
        <f t="shared" si="4"/>
        <v>0.14710000000000001</v>
      </c>
      <c r="Q28" s="402"/>
    </row>
    <row r="29" spans="2:24" x14ac:dyDescent="0.4">
      <c r="B29" s="153"/>
      <c r="C29" s="116" t="s">
        <v>52</v>
      </c>
      <c r="D29" s="142">
        <v>50000</v>
      </c>
      <c r="E29" s="116" t="s">
        <v>188</v>
      </c>
      <c r="F29" s="577">
        <f>'YR 2 Rate Comp'!F39</f>
        <v>5.2700000000000004E-3</v>
      </c>
      <c r="H29" s="116" t="s">
        <v>240</v>
      </c>
      <c r="J29" s="577">
        <f>'YR 2 Rate Comp'!L39</f>
        <v>6.0400000000000002E-3</v>
      </c>
      <c r="L29" s="116" t="s">
        <v>240</v>
      </c>
      <c r="N29" s="577">
        <f t="shared" ref="N29:N30" si="6">J29-F29</f>
        <v>7.6999999999999985E-4</v>
      </c>
      <c r="O29" s="550"/>
      <c r="P29" s="585">
        <f t="shared" si="4"/>
        <v>0.14610000000000001</v>
      </c>
      <c r="Q29" s="402"/>
    </row>
    <row r="30" spans="2:24" x14ac:dyDescent="0.4">
      <c r="B30" s="153"/>
      <c r="C30" s="116" t="s">
        <v>114</v>
      </c>
      <c r="D30" s="142">
        <f>SUM(D26:D29)</f>
        <v>100000</v>
      </c>
      <c r="E30" s="116" t="s">
        <v>188</v>
      </c>
      <c r="F30" s="577">
        <f>'YR 2 Rate Comp'!F40</f>
        <v>4.3900000000000007E-3</v>
      </c>
      <c r="H30" s="116" t="s">
        <v>240</v>
      </c>
      <c r="J30" s="577">
        <f>'YR 2 Rate Comp'!L40</f>
        <v>5.0300000000000006E-3</v>
      </c>
      <c r="L30" s="116" t="s">
        <v>240</v>
      </c>
      <c r="N30" s="577">
        <f t="shared" si="6"/>
        <v>6.3999999999999994E-4</v>
      </c>
      <c r="O30" s="550"/>
      <c r="P30" s="585">
        <f t="shared" si="4"/>
        <v>0.14580000000000001</v>
      </c>
      <c r="Q30" s="402"/>
    </row>
    <row r="31" spans="2:24" x14ac:dyDescent="0.4">
      <c r="B31" s="153"/>
      <c r="C31" s="592" t="s">
        <v>338</v>
      </c>
      <c r="D31" s="142"/>
      <c r="Q31" s="402"/>
    </row>
    <row r="32" spans="2:24" x14ac:dyDescent="0.4">
      <c r="B32" s="153"/>
      <c r="C32" s="116" t="s">
        <v>51</v>
      </c>
      <c r="D32" s="142">
        <v>30000</v>
      </c>
      <c r="E32" s="514" t="s">
        <v>188</v>
      </c>
      <c r="F32" s="550">
        <f>'YR 2 Rate Comp'!F43</f>
        <v>266.53000000000003</v>
      </c>
      <c r="G32" s="550"/>
      <c r="H32" s="116" t="s">
        <v>241</v>
      </c>
      <c r="J32" s="550">
        <f>'YR 2 Rate Comp'!L43</f>
        <v>305.64</v>
      </c>
      <c r="K32" s="550"/>
      <c r="L32" s="116" t="s">
        <v>241</v>
      </c>
      <c r="N32" s="550">
        <f>J32-F32</f>
        <v>39.109999999999957</v>
      </c>
      <c r="O32" s="550"/>
      <c r="P32" s="585">
        <f t="shared" si="4"/>
        <v>0.1467</v>
      </c>
      <c r="Q32" s="402"/>
      <c r="S32" s="142">
        <f>D32</f>
        <v>30000</v>
      </c>
      <c r="U32" s="404">
        <f>F32</f>
        <v>266.53000000000003</v>
      </c>
      <c r="V32" s="404">
        <f>J32</f>
        <v>305.64</v>
      </c>
      <c r="X32" s="501"/>
    </row>
    <row r="33" spans="2:24" x14ac:dyDescent="0.4">
      <c r="B33" s="153"/>
      <c r="C33" s="116" t="s">
        <v>52</v>
      </c>
      <c r="D33" s="142">
        <v>20000</v>
      </c>
      <c r="E33" s="514" t="s">
        <v>188</v>
      </c>
      <c r="F33" s="577">
        <f>'YR 2 Rate Comp'!F44</f>
        <v>6.1200000000000004E-3</v>
      </c>
      <c r="G33" s="551"/>
      <c r="H33" s="116" t="s">
        <v>240</v>
      </c>
      <c r="J33" s="577">
        <f>'YR 2 Rate Comp'!L44</f>
        <v>7.0200000000000002E-3</v>
      </c>
      <c r="K33" s="551"/>
      <c r="L33" s="116" t="s">
        <v>240</v>
      </c>
      <c r="N33" s="577">
        <f>J33-F33</f>
        <v>8.9999999999999976E-4</v>
      </c>
      <c r="O33" s="550"/>
      <c r="P33" s="585">
        <f t="shared" si="4"/>
        <v>0.14710000000000001</v>
      </c>
      <c r="Q33" s="402"/>
      <c r="S33" s="142">
        <f>D33</f>
        <v>20000</v>
      </c>
      <c r="U33" s="116">
        <f>ROUND(S33*F33,2)</f>
        <v>122.4</v>
      </c>
      <c r="V33" s="116">
        <f>ROUND(S33*J33,2)</f>
        <v>140.4</v>
      </c>
      <c r="X33" s="501"/>
    </row>
    <row r="34" spans="2:24" x14ac:dyDescent="0.4">
      <c r="B34" s="153"/>
      <c r="C34" s="116" t="s">
        <v>52</v>
      </c>
      <c r="D34" s="142">
        <v>50000</v>
      </c>
      <c r="E34" s="514" t="s">
        <v>188</v>
      </c>
      <c r="F34" s="577">
        <f>'YR 2 Rate Comp'!F45</f>
        <v>5.2700000000000004E-3</v>
      </c>
      <c r="G34" s="551"/>
      <c r="H34" s="116" t="s">
        <v>240</v>
      </c>
      <c r="J34" s="577">
        <f>'YR 2 Rate Comp'!L45</f>
        <v>6.0400000000000002E-3</v>
      </c>
      <c r="K34" s="551"/>
      <c r="L34" s="116" t="s">
        <v>240</v>
      </c>
      <c r="N34" s="577">
        <f t="shared" ref="N34:N35" si="7">J34-F34</f>
        <v>7.6999999999999985E-4</v>
      </c>
      <c r="O34" s="550"/>
      <c r="P34" s="585">
        <f t="shared" si="4"/>
        <v>0.14610000000000001</v>
      </c>
      <c r="Q34" s="402"/>
      <c r="S34" s="142">
        <f>F63-S32-S33</f>
        <v>30347</v>
      </c>
      <c r="U34" s="116">
        <f>ROUND(S34*F34,2)</f>
        <v>159.93</v>
      </c>
      <c r="V34" s="116">
        <f>ROUND(S34*J34,2)</f>
        <v>183.3</v>
      </c>
    </row>
    <row r="35" spans="2:24" x14ac:dyDescent="0.4">
      <c r="B35" s="153"/>
      <c r="C35" s="116" t="s">
        <v>114</v>
      </c>
      <c r="D35" s="142">
        <f>SUM(D31:D34)</f>
        <v>100000</v>
      </c>
      <c r="E35" s="514" t="s">
        <v>188</v>
      </c>
      <c r="F35" s="577">
        <f>'YR 2 Rate Comp'!F46</f>
        <v>4.3900000000000007E-3</v>
      </c>
      <c r="G35" s="551"/>
      <c r="H35" s="116" t="s">
        <v>240</v>
      </c>
      <c r="J35" s="577">
        <f>'YR 2 Rate Comp'!L46</f>
        <v>5.0300000000000006E-3</v>
      </c>
      <c r="K35" s="551"/>
      <c r="L35" s="116" t="s">
        <v>240</v>
      </c>
      <c r="N35" s="577">
        <f t="shared" si="7"/>
        <v>6.3999999999999994E-4</v>
      </c>
      <c r="O35" s="550"/>
      <c r="P35" s="585">
        <f t="shared" si="4"/>
        <v>0.14580000000000001</v>
      </c>
      <c r="Q35" s="402"/>
      <c r="U35" s="404">
        <f>SUM(U32:U34)</f>
        <v>548.86000000000013</v>
      </c>
      <c r="V35" s="404">
        <f>SUM(V32:V34)</f>
        <v>629.33999999999992</v>
      </c>
      <c r="W35" s="404">
        <f>V35-U35</f>
        <v>80.479999999999791</v>
      </c>
      <c r="X35" s="554">
        <f>ROUND(W35/U35,2)</f>
        <v>0.15</v>
      </c>
    </row>
    <row r="36" spans="2:24" ht="15.75" x14ac:dyDescent="0.5">
      <c r="B36" s="153"/>
      <c r="C36" s="592" t="s">
        <v>339</v>
      </c>
      <c r="D36" s="142"/>
      <c r="H36" s="14"/>
      <c r="J36" s="142"/>
      <c r="O36" s="551"/>
      <c r="P36" s="551"/>
      <c r="Q36" s="402"/>
      <c r="X36" s="501"/>
    </row>
    <row r="37" spans="2:24" x14ac:dyDescent="0.4">
      <c r="B37" s="153"/>
      <c r="C37" s="116" t="s">
        <v>51</v>
      </c>
      <c r="D37" s="142">
        <v>60000</v>
      </c>
      <c r="E37" s="116" t="s">
        <v>188</v>
      </c>
      <c r="F37" s="550">
        <f>'YR 2 Rate Comp'!F49</f>
        <v>465.54</v>
      </c>
      <c r="H37" s="116" t="s">
        <v>241</v>
      </c>
      <c r="J37" s="550">
        <f>'YR 2 Rate Comp'!L49</f>
        <v>533.87</v>
      </c>
      <c r="L37" s="116" t="s">
        <v>241</v>
      </c>
      <c r="N37" s="550">
        <f>J37-F37</f>
        <v>68.329999999999984</v>
      </c>
      <c r="O37" s="550"/>
      <c r="P37" s="585">
        <f t="shared" si="4"/>
        <v>0.14680000000000001</v>
      </c>
      <c r="Q37" s="402"/>
      <c r="S37" s="142">
        <f>F64</f>
        <v>39917</v>
      </c>
      <c r="X37" s="501"/>
    </row>
    <row r="38" spans="2:24" x14ac:dyDescent="0.4">
      <c r="B38" s="153"/>
      <c r="C38" s="116" t="s">
        <v>52</v>
      </c>
      <c r="D38" s="142">
        <v>40000</v>
      </c>
      <c r="E38" s="116" t="s">
        <v>188</v>
      </c>
      <c r="F38" s="577">
        <f>'YR 2 Rate Comp'!F50</f>
        <v>5.2700000000000004E-3</v>
      </c>
      <c r="H38" s="116" t="s">
        <v>240</v>
      </c>
      <c r="J38" s="577">
        <f>'YR 2 Rate Comp'!L50</f>
        <v>6.0400000000000002E-3</v>
      </c>
      <c r="L38" s="116" t="s">
        <v>240</v>
      </c>
      <c r="N38" s="577">
        <f>J38-F38</f>
        <v>7.6999999999999985E-4</v>
      </c>
      <c r="O38" s="550"/>
      <c r="P38" s="585">
        <f t="shared" si="4"/>
        <v>0.14610000000000001</v>
      </c>
      <c r="Q38" s="402"/>
      <c r="X38" s="501"/>
    </row>
    <row r="39" spans="2:24" x14ac:dyDescent="0.4">
      <c r="B39" s="153"/>
      <c r="C39" s="116" t="s">
        <v>114</v>
      </c>
      <c r="D39" s="142">
        <f>SUM(D36:D38)</f>
        <v>100000</v>
      </c>
      <c r="E39" s="116" t="s">
        <v>188</v>
      </c>
      <c r="F39" s="577">
        <f>'YR 2 Rate Comp'!F51</f>
        <v>4.3900000000000007E-3</v>
      </c>
      <c r="H39" s="116" t="s">
        <v>240</v>
      </c>
      <c r="J39" s="577">
        <f>'YR 2 Rate Comp'!L51</f>
        <v>5.0300000000000006E-3</v>
      </c>
      <c r="L39" s="116" t="s">
        <v>240</v>
      </c>
      <c r="N39" s="577">
        <f t="shared" ref="N39" si="8">J39-F39</f>
        <v>6.3999999999999994E-4</v>
      </c>
      <c r="O39" s="550"/>
      <c r="P39" s="585">
        <f t="shared" si="4"/>
        <v>0.14580000000000001</v>
      </c>
      <c r="Q39" s="402"/>
      <c r="X39" s="501"/>
    </row>
    <row r="40" spans="2:24" x14ac:dyDescent="0.4">
      <c r="B40" s="153"/>
      <c r="C40" s="517" t="s">
        <v>710</v>
      </c>
      <c r="E40" s="514"/>
      <c r="F40" s="551"/>
      <c r="G40" s="551"/>
      <c r="N40" s="551"/>
      <c r="O40" s="551"/>
      <c r="P40" s="551"/>
      <c r="Q40" s="402"/>
      <c r="X40" s="501"/>
    </row>
    <row r="41" spans="2:24" x14ac:dyDescent="0.4">
      <c r="B41" s="153"/>
      <c r="C41" s="116" t="s">
        <v>51</v>
      </c>
      <c r="D41" s="142">
        <v>80000</v>
      </c>
      <c r="E41" s="116" t="s">
        <v>188</v>
      </c>
      <c r="F41" s="550">
        <f>'YR 2 Rate Comp'!F54</f>
        <v>590.5</v>
      </c>
      <c r="G41" s="551"/>
      <c r="H41" s="116" t="s">
        <v>241</v>
      </c>
      <c r="J41" s="550">
        <f>'YR 2 Rate Comp'!L54</f>
        <v>677.16</v>
      </c>
      <c r="L41" s="116" t="s">
        <v>241</v>
      </c>
      <c r="N41" s="550">
        <f>J41-F41</f>
        <v>86.659999999999968</v>
      </c>
      <c r="O41" s="550"/>
      <c r="P41" s="585">
        <f t="shared" si="4"/>
        <v>0.14680000000000001</v>
      </c>
      <c r="Q41" s="402"/>
      <c r="X41" s="501"/>
    </row>
    <row r="42" spans="2:24" x14ac:dyDescent="0.4">
      <c r="B42" s="153"/>
      <c r="C42" s="116" t="s">
        <v>52</v>
      </c>
      <c r="D42" s="142">
        <v>20000</v>
      </c>
      <c r="E42" s="116" t="s">
        <v>188</v>
      </c>
      <c r="F42" s="577">
        <f>'YR 2 Rate Comp'!F55</f>
        <v>5.2700000000000004E-3</v>
      </c>
      <c r="G42" s="551"/>
      <c r="H42" s="116" t="s">
        <v>240</v>
      </c>
      <c r="J42" s="577">
        <f>'YR 2 Rate Comp'!L55</f>
        <v>6.0400000000000002E-3</v>
      </c>
      <c r="L42" s="116" t="s">
        <v>240</v>
      </c>
      <c r="N42" s="577">
        <f>J42-F42</f>
        <v>7.6999999999999985E-4</v>
      </c>
      <c r="O42" s="550"/>
      <c r="P42" s="585">
        <f t="shared" si="4"/>
        <v>0.14610000000000001</v>
      </c>
      <c r="Q42" s="402"/>
      <c r="X42" s="501"/>
    </row>
    <row r="43" spans="2:24" x14ac:dyDescent="0.4">
      <c r="B43" s="153"/>
      <c r="C43" s="116" t="s">
        <v>114</v>
      </c>
      <c r="D43" s="142">
        <f>SUM(D40:D42)</f>
        <v>100000</v>
      </c>
      <c r="E43" s="116" t="s">
        <v>188</v>
      </c>
      <c r="F43" s="577">
        <f>'YR 2 Rate Comp'!F56</f>
        <v>4.3900000000000007E-3</v>
      </c>
      <c r="G43" s="550"/>
      <c r="H43" s="116" t="s">
        <v>240</v>
      </c>
      <c r="J43" s="577">
        <f>'YR 2 Rate Comp'!L56</f>
        <v>5.0300000000000006E-3</v>
      </c>
      <c r="L43" s="116" t="s">
        <v>240</v>
      </c>
      <c r="N43" s="577">
        <f t="shared" ref="N43" si="9">J43-F43</f>
        <v>6.3999999999999994E-4</v>
      </c>
      <c r="O43" s="550"/>
      <c r="P43" s="585">
        <f t="shared" si="4"/>
        <v>0.14580000000000001</v>
      </c>
      <c r="Q43" s="402"/>
      <c r="S43" s="142">
        <f>F64</f>
        <v>39917</v>
      </c>
      <c r="U43" s="404">
        <f>F43</f>
        <v>4.3900000000000007E-3</v>
      </c>
      <c r="V43" s="404">
        <f>J43</f>
        <v>5.0300000000000006E-3</v>
      </c>
      <c r="X43" s="501"/>
    </row>
    <row r="44" spans="2:24" x14ac:dyDescent="0.4">
      <c r="B44" s="153"/>
      <c r="C44" s="592" t="s">
        <v>460</v>
      </c>
      <c r="F44" s="551"/>
      <c r="G44" s="551"/>
      <c r="N44" s="551"/>
      <c r="O44" s="551"/>
      <c r="P44" s="551"/>
      <c r="Q44" s="402"/>
      <c r="X44" s="501"/>
    </row>
    <row r="45" spans="2:24" x14ac:dyDescent="0.4">
      <c r="B45" s="153"/>
      <c r="C45" s="588" t="s">
        <v>716</v>
      </c>
      <c r="F45" s="550">
        <f>'YR 2 Rate Comp'!F59</f>
        <v>20.51</v>
      </c>
      <c r="G45" s="550"/>
      <c r="H45" s="550"/>
      <c r="I45" s="550"/>
      <c r="J45" s="550">
        <f>'YR 2 Rate Comp'!L59</f>
        <v>23.525000000000002</v>
      </c>
      <c r="N45" s="550">
        <f t="shared" ref="N45:N49" si="10">J45-F45</f>
        <v>3.0150000000000006</v>
      </c>
      <c r="O45" s="550"/>
      <c r="P45" s="585">
        <f t="shared" si="4"/>
        <v>0.14699999999999999</v>
      </c>
      <c r="Q45" s="402"/>
      <c r="X45" s="501"/>
    </row>
    <row r="46" spans="2:24" x14ac:dyDescent="0.4">
      <c r="B46" s="153"/>
      <c r="C46" s="588" t="s">
        <v>717</v>
      </c>
      <c r="F46" s="550">
        <f>'YR 2 Rate Comp'!F60</f>
        <v>30.65</v>
      </c>
      <c r="G46" s="550"/>
      <c r="H46" s="550"/>
      <c r="I46" s="550"/>
      <c r="J46" s="550">
        <f>'YR 2 Rate Comp'!L60</f>
        <v>35.155999999999999</v>
      </c>
      <c r="N46" s="550">
        <f t="shared" si="10"/>
        <v>4.5060000000000002</v>
      </c>
      <c r="O46" s="550"/>
      <c r="P46" s="585">
        <f t="shared" si="4"/>
        <v>0.14699999999999999</v>
      </c>
      <c r="Q46" s="402"/>
      <c r="X46" s="501"/>
    </row>
    <row r="47" spans="2:24" x14ac:dyDescent="0.4">
      <c r="B47" s="153"/>
      <c r="C47" s="588" t="s">
        <v>357</v>
      </c>
      <c r="F47" s="550">
        <f>'YR 2 Rate Comp'!F61</f>
        <v>79.62</v>
      </c>
      <c r="G47" s="550"/>
      <c r="H47" s="550"/>
      <c r="I47" s="550"/>
      <c r="J47" s="550">
        <f>'YR 2 Rate Comp'!L61</f>
        <v>91.324000000000012</v>
      </c>
      <c r="N47" s="550">
        <f t="shared" si="10"/>
        <v>11.704000000000008</v>
      </c>
      <c r="O47" s="550"/>
      <c r="P47" s="585">
        <f t="shared" si="4"/>
        <v>0.14699999999999999</v>
      </c>
      <c r="Q47" s="402"/>
      <c r="X47" s="501"/>
    </row>
    <row r="48" spans="2:24" x14ac:dyDescent="0.4">
      <c r="B48" s="153"/>
      <c r="C48" s="588" t="s">
        <v>345</v>
      </c>
      <c r="F48" s="550">
        <f>'YR 2 Rate Comp'!F62</f>
        <v>173.07</v>
      </c>
      <c r="G48" s="550"/>
      <c r="H48" s="550"/>
      <c r="I48" s="550"/>
      <c r="J48" s="550">
        <f>'YR 2 Rate Comp'!L62</f>
        <v>198.511</v>
      </c>
      <c r="N48" s="550">
        <f t="shared" si="10"/>
        <v>25.441000000000003</v>
      </c>
      <c r="O48" s="550"/>
      <c r="P48" s="585">
        <f t="shared" si="4"/>
        <v>0.14699999999999999</v>
      </c>
      <c r="Q48" s="402"/>
      <c r="X48" s="501"/>
    </row>
    <row r="49" spans="2:24" x14ac:dyDescent="0.4">
      <c r="B49" s="153"/>
      <c r="C49" s="588" t="s">
        <v>346</v>
      </c>
      <c r="F49" s="550">
        <f>'YR 2 Rate Comp'!F63</f>
        <v>398.7</v>
      </c>
      <c r="G49" s="550"/>
      <c r="H49" s="550"/>
      <c r="I49" s="550"/>
      <c r="J49" s="550">
        <f>'YR 2 Rate Comp'!L63</f>
        <v>457.30899999999997</v>
      </c>
      <c r="N49" s="550">
        <f t="shared" si="10"/>
        <v>58.60899999999998</v>
      </c>
      <c r="O49" s="550"/>
      <c r="P49" s="585">
        <f t="shared" si="4"/>
        <v>0.14699999999999999</v>
      </c>
      <c r="Q49" s="402"/>
      <c r="X49" s="501"/>
    </row>
    <row r="50" spans="2:24" x14ac:dyDescent="0.4">
      <c r="B50" s="153"/>
      <c r="C50" s="588" t="s">
        <v>710</v>
      </c>
      <c r="D50" s="578"/>
      <c r="E50" s="578"/>
      <c r="F50" s="550">
        <f>'YR 2 Rate Comp'!F64</f>
        <v>770.06</v>
      </c>
      <c r="G50" s="551"/>
      <c r="J50" s="550">
        <f>'YR 2 Rate Comp'!L64</f>
        <v>883.2589999999999</v>
      </c>
      <c r="K50" s="551"/>
      <c r="N50" s="550">
        <f>J50-F50</f>
        <v>113.19899999999996</v>
      </c>
      <c r="O50" s="550"/>
      <c r="P50" s="585">
        <f t="shared" si="4"/>
        <v>0.14699999999999999</v>
      </c>
      <c r="Q50" s="402"/>
      <c r="S50" s="142">
        <f>F65</f>
        <v>0</v>
      </c>
      <c r="U50" s="404">
        <f>ROUND(S50*F50,2)</f>
        <v>0</v>
      </c>
      <c r="V50" s="404">
        <f>ROUND(S50*J50,2)</f>
        <v>0</v>
      </c>
      <c r="W50" s="404">
        <f>V50-U50</f>
        <v>0</v>
      </c>
      <c r="X50" s="554" t="e">
        <f>ROUND(W50/U50,2)</f>
        <v>#DIV/0!</v>
      </c>
    </row>
    <row r="51" spans="2:24" x14ac:dyDescent="0.4">
      <c r="B51" s="153"/>
      <c r="C51" s="588" t="s">
        <v>718</v>
      </c>
      <c r="F51" s="550">
        <f>'YR 2 Rate Comp'!F65</f>
        <v>1333.45</v>
      </c>
      <c r="J51" s="550">
        <f>'YR 2 Rate Comp'!L65</f>
        <v>1529.4670000000001</v>
      </c>
      <c r="N51" s="550">
        <f t="shared" ref="N51:N52" si="11">J51-F51</f>
        <v>196.01700000000005</v>
      </c>
      <c r="O51" s="550"/>
      <c r="P51" s="585">
        <f t="shared" si="4"/>
        <v>0.14699999999999999</v>
      </c>
      <c r="Q51" s="402"/>
    </row>
    <row r="52" spans="2:24" x14ac:dyDescent="0.4">
      <c r="B52" s="154"/>
      <c r="C52" s="589" t="s">
        <v>719</v>
      </c>
      <c r="D52" s="310"/>
      <c r="E52" s="310"/>
      <c r="F52" s="582">
        <f>'YR 2 Rate Comp'!F66</f>
        <v>2105.19</v>
      </c>
      <c r="G52" s="310"/>
      <c r="H52" s="310"/>
      <c r="I52" s="310"/>
      <c r="J52" s="582">
        <f>'YR 2 Rate Comp'!L66</f>
        <v>2414.6530000000002</v>
      </c>
      <c r="K52" s="310"/>
      <c r="L52" s="310"/>
      <c r="M52" s="310"/>
      <c r="N52" s="582">
        <f t="shared" si="11"/>
        <v>309.46300000000019</v>
      </c>
      <c r="O52" s="582"/>
      <c r="P52" s="516">
        <f t="shared" si="4"/>
        <v>0.14699999999999999</v>
      </c>
      <c r="Q52" s="408"/>
    </row>
    <row r="54" spans="2:24" x14ac:dyDescent="0.4">
      <c r="B54" s="152"/>
      <c r="C54" s="661" t="s">
        <v>682</v>
      </c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401"/>
    </row>
    <row r="55" spans="2:24" x14ac:dyDescent="0.4">
      <c r="B55" s="153"/>
      <c r="O55" s="402"/>
    </row>
    <row r="56" spans="2:24" x14ac:dyDescent="0.4">
      <c r="B56" s="153"/>
      <c r="F56" s="230" t="s">
        <v>683</v>
      </c>
      <c r="G56" s="230"/>
      <c r="H56" s="230" t="s">
        <v>684</v>
      </c>
      <c r="J56" s="230" t="s">
        <v>721</v>
      </c>
      <c r="K56" s="230"/>
      <c r="O56" s="402"/>
    </row>
    <row r="57" spans="2:24" x14ac:dyDescent="0.4">
      <c r="B57" s="153"/>
      <c r="F57" s="230" t="s">
        <v>145</v>
      </c>
      <c r="G57" s="230"/>
      <c r="H57" s="230" t="s">
        <v>145</v>
      </c>
      <c r="J57" s="230" t="s">
        <v>145</v>
      </c>
      <c r="K57" s="230"/>
      <c r="L57" s="657" t="s">
        <v>237</v>
      </c>
      <c r="M57" s="657"/>
      <c r="N57" s="657"/>
      <c r="O57" s="402"/>
    </row>
    <row r="58" spans="2:24" x14ac:dyDescent="0.4">
      <c r="B58" s="153"/>
      <c r="F58" s="243" t="s">
        <v>685</v>
      </c>
      <c r="G58" s="230"/>
      <c r="H58" s="243" t="s">
        <v>230</v>
      </c>
      <c r="J58" s="243" t="s">
        <v>230</v>
      </c>
      <c r="K58" s="230"/>
      <c r="L58" s="243" t="s">
        <v>681</v>
      </c>
      <c r="N58" s="243" t="s">
        <v>232</v>
      </c>
      <c r="O58" s="402"/>
    </row>
    <row r="59" spans="2:24" x14ac:dyDescent="0.4">
      <c r="B59" s="153"/>
      <c r="C59" s="142" t="s">
        <v>720</v>
      </c>
      <c r="F59" s="142">
        <f>ROUND('Prop BA - Yr 1'!G50/'Prop BA - Yr 1'!F45,0)</f>
        <v>4008</v>
      </c>
      <c r="G59" s="230"/>
      <c r="H59" s="404">
        <f>U7</f>
        <v>37.67</v>
      </c>
      <c r="J59" s="404">
        <f>V7</f>
        <v>43.21</v>
      </c>
      <c r="K59" s="230"/>
      <c r="L59" s="404">
        <f>J59-H59</f>
        <v>5.5399999999999991</v>
      </c>
      <c r="N59" s="585">
        <f t="shared" ref="N59:N64" si="12">ROUND(L59/H59,4)</f>
        <v>0.14710000000000001</v>
      </c>
      <c r="O59" s="402"/>
      <c r="R59" s="142">
        <v>3020</v>
      </c>
    </row>
    <row r="60" spans="2:24" x14ac:dyDescent="0.4">
      <c r="B60" s="153"/>
      <c r="C60" s="142" t="s">
        <v>334</v>
      </c>
      <c r="F60" s="142">
        <f>ROUND('Prop BA - Yr 1'!G70/'Prop BA - Yr 1'!F65,0)</f>
        <v>21116</v>
      </c>
      <c r="G60" s="230"/>
      <c r="H60" s="404">
        <f>U14</f>
        <v>144.65</v>
      </c>
      <c r="J60" s="404">
        <f>V14</f>
        <v>165.91</v>
      </c>
      <c r="K60" s="230"/>
      <c r="L60" s="404">
        <f t="shared" ref="L60:L64" si="13">J60-H60</f>
        <v>21.259999999999991</v>
      </c>
      <c r="N60" s="585">
        <f t="shared" si="12"/>
        <v>0.14699999999999999</v>
      </c>
      <c r="O60" s="402"/>
      <c r="R60" s="142">
        <v>5381</v>
      </c>
    </row>
    <row r="61" spans="2:24" x14ac:dyDescent="0.4">
      <c r="B61" s="153"/>
      <c r="C61" s="142" t="s">
        <v>686</v>
      </c>
      <c r="F61" s="142">
        <f>ROUND('Prop BA - Yr 1'!G85/'Prop BA - Yr 1'!F81,0)</f>
        <v>213248</v>
      </c>
      <c r="G61" s="230"/>
      <c r="H61" s="404">
        <f>'Customer Notice Year 1'!J60</f>
        <v>1086.77</v>
      </c>
      <c r="J61" s="404">
        <v>1244.42</v>
      </c>
      <c r="K61" s="230"/>
      <c r="L61" s="404">
        <f t="shared" si="13"/>
        <v>157.65000000000009</v>
      </c>
      <c r="N61" s="585">
        <f t="shared" si="12"/>
        <v>0.14510000000000001</v>
      </c>
      <c r="O61" s="402"/>
      <c r="R61" s="142"/>
    </row>
    <row r="62" spans="2:24" x14ac:dyDescent="0.4">
      <c r="B62" s="153"/>
      <c r="C62" s="142" t="s">
        <v>336</v>
      </c>
      <c r="F62" s="142">
        <f>ROUND('Prop BA - Yr 1'!G100/'Prop BA - Yr 1'!F96,0)</f>
        <v>44390</v>
      </c>
      <c r="G62" s="142"/>
      <c r="H62" s="404">
        <f>U24</f>
        <v>292.41999999999996</v>
      </c>
      <c r="J62" s="404">
        <f>V24</f>
        <v>335.39</v>
      </c>
      <c r="L62" s="404">
        <f t="shared" si="13"/>
        <v>42.970000000000027</v>
      </c>
      <c r="N62" s="585">
        <f t="shared" si="12"/>
        <v>0.1469</v>
      </c>
      <c r="O62" s="402"/>
      <c r="R62" s="142">
        <v>132045</v>
      </c>
    </row>
    <row r="63" spans="2:24" x14ac:dyDescent="0.4">
      <c r="B63" s="153"/>
      <c r="C63" s="142" t="s">
        <v>338</v>
      </c>
      <c r="F63" s="142">
        <f>ROUND('Prop BA - Yr 1'!G115/'Prop BA - Yr 1'!F111,0)</f>
        <v>80347</v>
      </c>
      <c r="G63" s="142"/>
      <c r="H63" s="404">
        <f>U35</f>
        <v>548.86000000000013</v>
      </c>
      <c r="J63" s="404">
        <f>V35</f>
        <v>629.33999999999992</v>
      </c>
      <c r="L63" s="404">
        <f t="shared" si="13"/>
        <v>80.479999999999791</v>
      </c>
      <c r="N63" s="585">
        <f t="shared" si="12"/>
        <v>0.14660000000000001</v>
      </c>
      <c r="O63" s="402"/>
      <c r="R63" s="142"/>
    </row>
    <row r="64" spans="2:24" x14ac:dyDescent="0.4">
      <c r="B64" s="153"/>
      <c r="C64" s="142" t="s">
        <v>339</v>
      </c>
      <c r="F64" s="142">
        <f>ROUND('Prop BA - Yr 1'!G128/'Prop BA - Yr 1'!F125,0)</f>
        <v>39917</v>
      </c>
      <c r="G64" s="142"/>
      <c r="H64" s="404">
        <f>F37</f>
        <v>465.54</v>
      </c>
      <c r="J64" s="404">
        <f>J37</f>
        <v>533.87</v>
      </c>
      <c r="L64" s="404">
        <f t="shared" si="13"/>
        <v>68.329999999999984</v>
      </c>
      <c r="N64" s="585">
        <f t="shared" si="12"/>
        <v>0.14680000000000001</v>
      </c>
      <c r="O64" s="402"/>
      <c r="R64" s="142">
        <v>94726</v>
      </c>
    </row>
    <row r="65" spans="2:18" x14ac:dyDescent="0.4">
      <c r="B65" s="153"/>
      <c r="C65" s="592" t="s">
        <v>460</v>
      </c>
      <c r="F65" s="142"/>
      <c r="G65" s="142"/>
      <c r="H65" s="404"/>
      <c r="J65" s="404"/>
      <c r="L65" s="404"/>
      <c r="N65" s="585"/>
      <c r="O65" s="402"/>
      <c r="R65" s="142">
        <v>523333</v>
      </c>
    </row>
    <row r="66" spans="2:18" x14ac:dyDescent="0.4">
      <c r="B66" s="153"/>
      <c r="C66" s="588" t="s">
        <v>716</v>
      </c>
      <c r="F66" s="142"/>
      <c r="G66" s="142"/>
      <c r="H66" s="404">
        <f>F45</f>
        <v>20.51</v>
      </c>
      <c r="J66" s="404">
        <f>J45</f>
        <v>23.525000000000002</v>
      </c>
      <c r="L66" s="404">
        <f t="shared" ref="L66:L73" si="14">J66-H66</f>
        <v>3.0150000000000006</v>
      </c>
      <c r="N66" s="585">
        <f t="shared" ref="N66:N73" si="15">ROUND(L66/H66,4)</f>
        <v>0.14699999999999999</v>
      </c>
      <c r="O66" s="402"/>
      <c r="R66" s="142"/>
    </row>
    <row r="67" spans="2:18" x14ac:dyDescent="0.4">
      <c r="B67" s="153"/>
      <c r="C67" s="588" t="s">
        <v>717</v>
      </c>
      <c r="F67" s="142"/>
      <c r="G67" s="142"/>
      <c r="H67" s="404">
        <f t="shared" ref="H67:H73" si="16">F46</f>
        <v>30.65</v>
      </c>
      <c r="J67" s="404">
        <f t="shared" ref="J67:J73" si="17">J46</f>
        <v>35.155999999999999</v>
      </c>
      <c r="L67" s="404">
        <f t="shared" si="14"/>
        <v>4.5060000000000002</v>
      </c>
      <c r="N67" s="585">
        <f t="shared" si="15"/>
        <v>0.14699999999999999</v>
      </c>
      <c r="O67" s="402"/>
      <c r="R67" s="142"/>
    </row>
    <row r="68" spans="2:18" x14ac:dyDescent="0.4">
      <c r="B68" s="153"/>
      <c r="C68" s="588" t="s">
        <v>357</v>
      </c>
      <c r="H68" s="404">
        <f t="shared" si="16"/>
        <v>79.62</v>
      </c>
      <c r="J68" s="404">
        <f t="shared" si="17"/>
        <v>91.324000000000012</v>
      </c>
      <c r="L68" s="404">
        <f t="shared" si="14"/>
        <v>11.704000000000008</v>
      </c>
      <c r="N68" s="585">
        <f t="shared" si="15"/>
        <v>0.14699999999999999</v>
      </c>
      <c r="O68" s="402"/>
    </row>
    <row r="69" spans="2:18" x14ac:dyDescent="0.4">
      <c r="B69" s="153"/>
      <c r="C69" s="588" t="s">
        <v>345</v>
      </c>
      <c r="H69" s="404">
        <f t="shared" si="16"/>
        <v>173.07</v>
      </c>
      <c r="J69" s="404">
        <f t="shared" si="17"/>
        <v>198.511</v>
      </c>
      <c r="L69" s="404">
        <f t="shared" si="14"/>
        <v>25.441000000000003</v>
      </c>
      <c r="N69" s="585">
        <f t="shared" si="15"/>
        <v>0.14699999999999999</v>
      </c>
      <c r="O69" s="402"/>
    </row>
    <row r="70" spans="2:18" x14ac:dyDescent="0.4">
      <c r="B70" s="153"/>
      <c r="C70" s="588" t="s">
        <v>346</v>
      </c>
      <c r="H70" s="404">
        <f t="shared" si="16"/>
        <v>398.7</v>
      </c>
      <c r="J70" s="404">
        <f t="shared" si="17"/>
        <v>457.30899999999997</v>
      </c>
      <c r="L70" s="404">
        <f t="shared" si="14"/>
        <v>58.60899999999998</v>
      </c>
      <c r="N70" s="585">
        <f t="shared" si="15"/>
        <v>0.14699999999999999</v>
      </c>
      <c r="O70" s="402"/>
    </row>
    <row r="71" spans="2:18" x14ac:dyDescent="0.4">
      <c r="B71" s="153"/>
      <c r="C71" s="588" t="s">
        <v>710</v>
      </c>
      <c r="H71" s="404">
        <f t="shared" si="16"/>
        <v>770.06</v>
      </c>
      <c r="J71" s="404">
        <f t="shared" si="17"/>
        <v>883.2589999999999</v>
      </c>
      <c r="L71" s="404">
        <f t="shared" si="14"/>
        <v>113.19899999999996</v>
      </c>
      <c r="N71" s="585">
        <f t="shared" si="15"/>
        <v>0.14699999999999999</v>
      </c>
      <c r="O71" s="402"/>
    </row>
    <row r="72" spans="2:18" x14ac:dyDescent="0.4">
      <c r="B72" s="153"/>
      <c r="C72" s="588" t="s">
        <v>718</v>
      </c>
      <c r="H72" s="404">
        <f t="shared" si="16"/>
        <v>1333.45</v>
      </c>
      <c r="J72" s="404">
        <f t="shared" si="17"/>
        <v>1529.4670000000001</v>
      </c>
      <c r="L72" s="404">
        <f t="shared" si="14"/>
        <v>196.01700000000005</v>
      </c>
      <c r="N72" s="585">
        <f t="shared" si="15"/>
        <v>0.14699999999999999</v>
      </c>
      <c r="O72" s="402"/>
    </row>
    <row r="73" spans="2:18" x14ac:dyDescent="0.4">
      <c r="B73" s="154"/>
      <c r="C73" s="589" t="s">
        <v>719</v>
      </c>
      <c r="D73" s="310"/>
      <c r="E73" s="310"/>
      <c r="F73" s="310"/>
      <c r="G73" s="310"/>
      <c r="H73" s="580">
        <f t="shared" si="16"/>
        <v>2105.19</v>
      </c>
      <c r="I73" s="310"/>
      <c r="J73" s="580">
        <f t="shared" si="17"/>
        <v>2414.6530000000002</v>
      </c>
      <c r="K73" s="310"/>
      <c r="L73" s="580">
        <f t="shared" si="14"/>
        <v>309.46300000000019</v>
      </c>
      <c r="M73" s="310"/>
      <c r="N73" s="516">
        <f t="shared" si="15"/>
        <v>0.14699999999999999</v>
      </c>
      <c r="O73" s="408"/>
    </row>
  </sheetData>
  <mergeCells count="5">
    <mergeCell ref="N3:P3"/>
    <mergeCell ref="F4:H4"/>
    <mergeCell ref="J4:L4"/>
    <mergeCell ref="C54:N54"/>
    <mergeCell ref="L57:N5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B61D8-283A-4F3B-AFCE-88C8BEAE56D0}">
  <dimension ref="A2:F11"/>
  <sheetViews>
    <sheetView workbookViewId="0">
      <selection activeCell="F10" activeCellId="3" sqref="D4 F4 D10 F10"/>
    </sheetView>
  </sheetViews>
  <sheetFormatPr defaultColWidth="14.77734375" defaultRowHeight="15" x14ac:dyDescent="0.4"/>
  <cols>
    <col min="1" max="4" width="14.77734375" style="197"/>
    <col min="5" max="5" width="3.33203125" style="197" customWidth="1"/>
    <col min="6" max="16384" width="14.77734375" style="197"/>
  </cols>
  <sheetData>
    <row r="2" spans="1:6" x14ac:dyDescent="0.4">
      <c r="D2" s="541" t="s">
        <v>679</v>
      </c>
      <c r="F2" s="541" t="s">
        <v>680</v>
      </c>
    </row>
    <row r="4" spans="1:6" x14ac:dyDescent="0.4">
      <c r="A4" s="142" t="s">
        <v>674</v>
      </c>
      <c r="D4" s="547">
        <f>'Prop BA - Yr 1'!H18</f>
        <v>2545495.3234000765</v>
      </c>
      <c r="F4" s="547">
        <f>'Prob BA - Yr 2'!G18</f>
        <v>2921163.0534000765</v>
      </c>
    </row>
    <row r="5" spans="1:6" x14ac:dyDescent="0.4">
      <c r="A5" s="142" t="s">
        <v>675</v>
      </c>
      <c r="D5" s="197">
        <f>-'SAO - DSC'!L48</f>
        <v>-2559281.3826733292</v>
      </c>
      <c r="F5" s="197">
        <f>D5</f>
        <v>-2559281.3826733292</v>
      </c>
    </row>
    <row r="6" spans="1:6" x14ac:dyDescent="0.4">
      <c r="A6" s="142" t="s">
        <v>676</v>
      </c>
      <c r="D6" s="197">
        <f>-'SAO - DSC'!L49</f>
        <v>-368377</v>
      </c>
      <c r="F6" s="197">
        <f t="shared" ref="F6:F7" si="0">D6</f>
        <v>-368377</v>
      </c>
    </row>
    <row r="7" spans="1:6" x14ac:dyDescent="0.4">
      <c r="A7" s="142" t="s">
        <v>678</v>
      </c>
      <c r="D7" s="277">
        <f>-'SAO - DSC'!L50</f>
        <v>-73675</v>
      </c>
      <c r="F7" s="277">
        <f t="shared" si="0"/>
        <v>-73675</v>
      </c>
    </row>
    <row r="8" spans="1:6" x14ac:dyDescent="0.4">
      <c r="A8" s="142" t="s">
        <v>198</v>
      </c>
      <c r="D8" s="197">
        <f>SUM(D4:D7)</f>
        <v>-455838.05927325273</v>
      </c>
      <c r="F8" s="197">
        <f>SUM(F4:F7)</f>
        <v>-80170.329273252748</v>
      </c>
    </row>
    <row r="9" spans="1:6" x14ac:dyDescent="0.4">
      <c r="A9" s="142" t="s">
        <v>677</v>
      </c>
      <c r="D9" s="277">
        <f>+'SAO - DSC'!L42</f>
        <v>1083943.1200000001</v>
      </c>
      <c r="F9" s="277">
        <f>D9</f>
        <v>1083943.1200000001</v>
      </c>
    </row>
    <row r="10" spans="1:6" ht="15.4" thickBot="1" x14ac:dyDescent="0.45">
      <c r="A10" s="142" t="s">
        <v>211</v>
      </c>
      <c r="D10" s="548">
        <f>SUM(D8:D9)</f>
        <v>628105.06072674738</v>
      </c>
      <c r="F10" s="548">
        <f>SUM(F8:F9)</f>
        <v>1003772.7907267474</v>
      </c>
    </row>
    <row r="11" spans="1:6" ht="15.4" thickTop="1" x14ac:dyDescent="0.4"/>
  </sheetData>
  <pageMargins left="0.7" right="0.7" top="0.75" bottom="0.75" header="0.3" footer="0.3"/>
  <ignoredErrors>
    <ignoredError sqref="F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70D8-9729-4DCE-BB4B-A4810B7775B4}">
  <dimension ref="A1:AA92"/>
  <sheetViews>
    <sheetView showGridLines="0" workbookViewId="0">
      <selection sqref="A1:U54"/>
    </sheetView>
  </sheetViews>
  <sheetFormatPr defaultColWidth="8.88671875" defaultRowHeight="13.5" x14ac:dyDescent="0.35"/>
  <cols>
    <col min="1" max="1" width="1.77734375" style="111" customWidth="1"/>
    <col min="2" max="2" width="7.33203125" style="434" customWidth="1"/>
    <col min="3" max="3" width="1.33203125" style="111" customWidth="1"/>
    <col min="4" max="4" width="41.77734375" style="111" customWidth="1"/>
    <col min="5" max="5" width="1.33203125" style="111" customWidth="1"/>
    <col min="6" max="6" width="14.6640625" style="112" customWidth="1"/>
    <col min="7" max="7" width="1.33203125" style="111" customWidth="1"/>
    <col min="8" max="8" width="14.21875" style="112" customWidth="1"/>
    <col min="9" max="9" width="1.6640625" style="112" customWidth="1"/>
    <col min="10" max="10" width="13" style="112" customWidth="1"/>
    <col min="11" max="11" width="1.33203125" style="111" customWidth="1"/>
    <col min="12" max="12" width="11.44140625" style="112" customWidth="1"/>
    <col min="13" max="13" width="1.33203125" style="111" customWidth="1"/>
    <col min="14" max="14" width="11.44140625" style="112" customWidth="1"/>
    <col min="15" max="15" width="1.33203125" style="111" customWidth="1"/>
    <col min="16" max="16" width="12.77734375" style="112" customWidth="1"/>
    <col min="17" max="17" width="1.33203125" style="111" customWidth="1"/>
    <col min="18" max="18" width="14" style="112" customWidth="1"/>
    <col min="19" max="19" width="1.33203125" style="111" customWidth="1"/>
    <col min="20" max="20" width="7.77734375" style="113" customWidth="1"/>
    <col min="21" max="24" width="1.33203125" style="111" customWidth="1"/>
    <col min="25" max="25" width="8.88671875" style="433"/>
    <col min="26" max="26" width="1.33203125" style="111" customWidth="1"/>
    <col min="27" max="27" width="32.21875" style="111" customWidth="1"/>
    <col min="28" max="16384" width="8.88671875" style="111"/>
  </cols>
  <sheetData>
    <row r="1" spans="1:27" ht="15" x14ac:dyDescent="0.4">
      <c r="A1" s="251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252"/>
    </row>
    <row r="2" spans="1:27" ht="22.15" x14ac:dyDescent="0.55000000000000004">
      <c r="A2" s="236"/>
      <c r="B2" s="625" t="s">
        <v>148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253"/>
    </row>
    <row r="3" spans="1:27" ht="22.15" x14ac:dyDescent="0.55000000000000004">
      <c r="A3" s="236"/>
      <c r="B3" s="669" t="s">
        <v>482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253"/>
    </row>
    <row r="4" spans="1:27" ht="22.15" x14ac:dyDescent="0.55000000000000004">
      <c r="A4" s="236"/>
      <c r="B4" s="624" t="str">
        <f>Adj!B1</f>
        <v>Butler County Water System, Inc.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253"/>
    </row>
    <row r="5" spans="1:27" x14ac:dyDescent="0.35">
      <c r="A5" s="236"/>
      <c r="U5" s="253"/>
    </row>
    <row r="6" spans="1:27" x14ac:dyDescent="0.35">
      <c r="A6" s="236"/>
      <c r="B6" s="434" t="s">
        <v>484</v>
      </c>
      <c r="F6" s="435" t="s">
        <v>485</v>
      </c>
      <c r="H6" s="435" t="s">
        <v>486</v>
      </c>
      <c r="I6" s="435"/>
      <c r="J6" s="435" t="s">
        <v>487</v>
      </c>
      <c r="L6" s="113">
        <v>2022</v>
      </c>
      <c r="N6" s="113" t="s">
        <v>488</v>
      </c>
      <c r="P6" s="113" t="s">
        <v>489</v>
      </c>
      <c r="R6" s="435" t="s">
        <v>486</v>
      </c>
      <c r="T6" s="113" t="s">
        <v>490</v>
      </c>
      <c r="U6" s="253"/>
    </row>
    <row r="7" spans="1:27" x14ac:dyDescent="0.35">
      <c r="A7" s="236"/>
      <c r="B7" s="436" t="s">
        <v>155</v>
      </c>
      <c r="D7" s="114" t="s">
        <v>491</v>
      </c>
      <c r="F7" s="437" t="s">
        <v>492</v>
      </c>
      <c r="H7" s="438">
        <v>44562</v>
      </c>
      <c r="I7" s="439"/>
      <c r="J7" s="438" t="s">
        <v>493</v>
      </c>
      <c r="L7" s="437" t="s">
        <v>494</v>
      </c>
      <c r="N7" s="437" t="s">
        <v>495</v>
      </c>
      <c r="P7" s="437" t="s">
        <v>496</v>
      </c>
      <c r="R7" s="438">
        <v>44926</v>
      </c>
      <c r="T7" s="115" t="s">
        <v>243</v>
      </c>
      <c r="U7" s="253"/>
    </row>
    <row r="8" spans="1:27" x14ac:dyDescent="0.35">
      <c r="A8" s="236"/>
      <c r="B8" s="434">
        <v>303</v>
      </c>
      <c r="D8" s="111" t="s">
        <v>497</v>
      </c>
      <c r="F8" s="440">
        <f>28714+60172+12130+505</f>
        <v>101521</v>
      </c>
      <c r="U8" s="253"/>
      <c r="Y8" s="433">
        <v>303</v>
      </c>
      <c r="AA8" s="111" t="s">
        <v>498</v>
      </c>
    </row>
    <row r="9" spans="1:27" x14ac:dyDescent="0.35">
      <c r="A9" s="236"/>
      <c r="B9" s="434">
        <v>3042</v>
      </c>
      <c r="D9" s="111" t="s">
        <v>499</v>
      </c>
      <c r="F9" s="441">
        <v>936214</v>
      </c>
      <c r="H9" s="440">
        <f>177904+219822-9135</f>
        <v>388591</v>
      </c>
      <c r="I9" s="440"/>
      <c r="J9" s="440">
        <v>0</v>
      </c>
      <c r="L9" s="440">
        <f>37098</f>
        <v>37098</v>
      </c>
      <c r="N9" s="440">
        <v>24</v>
      </c>
      <c r="P9" s="440">
        <f>+L9+N9</f>
        <v>37122</v>
      </c>
      <c r="R9" s="440">
        <f>+H9+P9</f>
        <v>425713</v>
      </c>
      <c r="T9" s="442">
        <v>37.5</v>
      </c>
      <c r="U9" s="253"/>
      <c r="Y9" s="433">
        <v>304</v>
      </c>
      <c r="AA9" s="111" t="s">
        <v>500</v>
      </c>
    </row>
    <row r="10" spans="1:27" x14ac:dyDescent="0.35">
      <c r="A10" s="236"/>
      <c r="B10" s="434">
        <v>3043</v>
      </c>
      <c r="D10" s="111" t="s">
        <v>499</v>
      </c>
      <c r="F10" s="441">
        <v>397195</v>
      </c>
      <c r="G10" s="441"/>
      <c r="H10" s="441">
        <v>113193</v>
      </c>
      <c r="I10" s="441"/>
      <c r="J10" s="441">
        <v>0</v>
      </c>
      <c r="K10" s="441"/>
      <c r="L10" s="441">
        <v>14187</v>
      </c>
      <c r="M10" s="441"/>
      <c r="N10" s="441">
        <v>0</v>
      </c>
      <c r="O10" s="441"/>
      <c r="P10" s="441">
        <f>+L10+N10</f>
        <v>14187</v>
      </c>
      <c r="R10" s="441">
        <f t="shared" ref="R10:R32" si="0">+H10+P10+J10</f>
        <v>127380</v>
      </c>
      <c r="T10" s="442">
        <v>37.5</v>
      </c>
      <c r="U10" s="253"/>
      <c r="Y10" s="433">
        <v>304</v>
      </c>
      <c r="AA10" s="111" t="s">
        <v>500</v>
      </c>
    </row>
    <row r="11" spans="1:27" x14ac:dyDescent="0.35">
      <c r="A11" s="236"/>
      <c r="B11" s="434">
        <v>3045</v>
      </c>
      <c r="D11" s="111" t="s">
        <v>499</v>
      </c>
      <c r="F11" s="441">
        <v>385991</v>
      </c>
      <c r="G11" s="441"/>
      <c r="H11" s="441">
        <v>160249</v>
      </c>
      <c r="I11" s="441"/>
      <c r="J11" s="441">
        <v>0</v>
      </c>
      <c r="K11" s="441"/>
      <c r="L11" s="441">
        <v>10894</v>
      </c>
      <c r="M11" s="441"/>
      <c r="N11" s="441">
        <v>8779</v>
      </c>
      <c r="O11" s="441"/>
      <c r="P11" s="441">
        <f t="shared" ref="P11:P32" si="1">+L11+N11</f>
        <v>19673</v>
      </c>
      <c r="R11" s="441">
        <f t="shared" si="0"/>
        <v>179922</v>
      </c>
      <c r="T11" s="442">
        <v>37.5</v>
      </c>
      <c r="U11" s="253"/>
    </row>
    <row r="12" spans="1:27" x14ac:dyDescent="0.35">
      <c r="A12" s="236"/>
      <c r="B12" s="434">
        <v>3065</v>
      </c>
      <c r="D12" s="111" t="s">
        <v>501</v>
      </c>
      <c r="F12" s="441">
        <v>31560</v>
      </c>
      <c r="G12" s="441"/>
      <c r="H12" s="441">
        <v>9682</v>
      </c>
      <c r="I12" s="441"/>
      <c r="J12" s="441">
        <v>0</v>
      </c>
      <c r="K12" s="441"/>
      <c r="L12" s="441">
        <v>636</v>
      </c>
      <c r="M12" s="441"/>
      <c r="N12" s="441">
        <v>0</v>
      </c>
      <c r="O12" s="441"/>
      <c r="P12" s="441">
        <f t="shared" si="1"/>
        <v>636</v>
      </c>
      <c r="R12" s="441">
        <f t="shared" si="0"/>
        <v>10318</v>
      </c>
      <c r="T12" s="113">
        <v>50</v>
      </c>
      <c r="U12" s="253"/>
    </row>
    <row r="13" spans="1:27" x14ac:dyDescent="0.35">
      <c r="A13" s="236"/>
      <c r="B13" s="434">
        <v>3095</v>
      </c>
      <c r="D13" s="111" t="s">
        <v>502</v>
      </c>
      <c r="F13" s="441">
        <v>3067</v>
      </c>
      <c r="G13" s="441"/>
      <c r="H13" s="441">
        <v>2551</v>
      </c>
      <c r="I13" s="441"/>
      <c r="J13" s="441">
        <v>0</v>
      </c>
      <c r="K13" s="441"/>
      <c r="L13" s="441">
        <v>60</v>
      </c>
      <c r="M13" s="441"/>
      <c r="N13" s="441">
        <v>0</v>
      </c>
      <c r="O13" s="441"/>
      <c r="P13" s="441">
        <f t="shared" si="1"/>
        <v>60</v>
      </c>
      <c r="R13" s="441">
        <f t="shared" si="0"/>
        <v>2611</v>
      </c>
      <c r="T13" s="113">
        <v>50</v>
      </c>
      <c r="U13" s="253"/>
      <c r="Y13" s="433">
        <v>309</v>
      </c>
      <c r="AA13" s="111" t="s">
        <v>502</v>
      </c>
    </row>
    <row r="14" spans="1:27" x14ac:dyDescent="0.35">
      <c r="A14" s="236"/>
      <c r="B14" s="434">
        <v>3115</v>
      </c>
      <c r="D14" s="111" t="s">
        <v>503</v>
      </c>
      <c r="F14" s="441">
        <f>182300+40570</f>
        <v>222870</v>
      </c>
      <c r="G14" s="441"/>
      <c r="H14" s="441">
        <f>339274+33953-219822+9135</f>
        <v>162540</v>
      </c>
      <c r="I14" s="441"/>
      <c r="J14" s="441">
        <v>0</v>
      </c>
      <c r="K14" s="441"/>
      <c r="L14" s="441">
        <v>1967</v>
      </c>
      <c r="M14" s="441"/>
      <c r="N14" s="441">
        <f>36756+6660</f>
        <v>43416</v>
      </c>
      <c r="O14" s="441"/>
      <c r="P14" s="441">
        <f t="shared" si="1"/>
        <v>45383</v>
      </c>
      <c r="R14" s="441">
        <f t="shared" si="0"/>
        <v>207923</v>
      </c>
      <c r="T14" s="113">
        <v>20</v>
      </c>
      <c r="U14" s="253"/>
      <c r="Y14" s="433">
        <v>311</v>
      </c>
      <c r="AA14" s="111" t="s">
        <v>503</v>
      </c>
    </row>
    <row r="15" spans="1:27" x14ac:dyDescent="0.35">
      <c r="A15" s="236"/>
      <c r="B15" s="434">
        <v>3205</v>
      </c>
      <c r="D15" s="111" t="s">
        <v>504</v>
      </c>
      <c r="F15" s="441">
        <f>4939969+32112</f>
        <v>4972081</v>
      </c>
      <c r="G15" s="441"/>
      <c r="H15" s="441">
        <f>1465411+26895</f>
        <v>1492306</v>
      </c>
      <c r="I15" s="441"/>
      <c r="J15" s="441">
        <v>0</v>
      </c>
      <c r="K15" s="441"/>
      <c r="L15" s="441">
        <f>239725+46</f>
        <v>239771</v>
      </c>
      <c r="M15" s="441"/>
      <c r="N15" s="441">
        <f>346557+5089</f>
        <v>351646</v>
      </c>
      <c r="O15" s="441"/>
      <c r="P15" s="441">
        <f t="shared" si="1"/>
        <v>591417</v>
      </c>
      <c r="R15" s="441">
        <f t="shared" si="0"/>
        <v>2083723</v>
      </c>
      <c r="T15" s="442">
        <v>27.5</v>
      </c>
      <c r="U15" s="253"/>
    </row>
    <row r="16" spans="1:27" x14ac:dyDescent="0.35">
      <c r="A16" s="236"/>
      <c r="B16" s="434">
        <v>3304</v>
      </c>
      <c r="D16" s="111" t="s">
        <v>505</v>
      </c>
      <c r="F16" s="441">
        <v>4187353</v>
      </c>
      <c r="G16" s="441"/>
      <c r="H16" s="441">
        <v>1509194</v>
      </c>
      <c r="I16" s="441"/>
      <c r="J16" s="441">
        <v>0</v>
      </c>
      <c r="K16" s="441"/>
      <c r="L16" s="441">
        <v>132013</v>
      </c>
      <c r="M16" s="441"/>
      <c r="N16" s="441">
        <v>2470</v>
      </c>
      <c r="O16" s="441"/>
      <c r="P16" s="441">
        <f t="shared" si="1"/>
        <v>134483</v>
      </c>
      <c r="R16" s="441">
        <f t="shared" si="0"/>
        <v>1643677</v>
      </c>
      <c r="T16" s="113">
        <v>45</v>
      </c>
      <c r="U16" s="253"/>
      <c r="Y16" s="433">
        <v>330</v>
      </c>
      <c r="AA16" s="111" t="s">
        <v>505</v>
      </c>
    </row>
    <row r="17" spans="1:27" x14ac:dyDescent="0.35">
      <c r="A17" s="236"/>
      <c r="B17" s="434">
        <v>3314</v>
      </c>
      <c r="D17" s="111" t="s">
        <v>506</v>
      </c>
      <c r="F17" s="441">
        <f>15273582</f>
        <v>15273582</v>
      </c>
      <c r="G17" s="441"/>
      <c r="H17" s="441">
        <f>6944683</f>
        <v>6944683</v>
      </c>
      <c r="I17" s="441"/>
      <c r="J17" s="441">
        <v>0</v>
      </c>
      <c r="K17" s="441"/>
      <c r="L17" s="441">
        <f>194682</f>
        <v>194682</v>
      </c>
      <c r="M17" s="441"/>
      <c r="N17" s="441">
        <v>0</v>
      </c>
      <c r="O17" s="441"/>
      <c r="P17" s="441">
        <f t="shared" si="1"/>
        <v>194682</v>
      </c>
      <c r="R17" s="441">
        <f t="shared" si="0"/>
        <v>7139365</v>
      </c>
      <c r="T17" s="442">
        <v>62.5</v>
      </c>
      <c r="U17" s="253"/>
      <c r="Y17" s="433">
        <v>331</v>
      </c>
      <c r="AA17" s="111" t="s">
        <v>506</v>
      </c>
    </row>
    <row r="18" spans="1:27" x14ac:dyDescent="0.35">
      <c r="A18" s="236"/>
      <c r="B18" s="434">
        <v>3324</v>
      </c>
      <c r="D18" s="111" t="s">
        <v>507</v>
      </c>
      <c r="F18" s="441">
        <v>337292</v>
      </c>
      <c r="G18" s="441"/>
      <c r="H18" s="441">
        <v>265359</v>
      </c>
      <c r="I18" s="441"/>
      <c r="J18" s="441">
        <v>0</v>
      </c>
      <c r="K18" s="441"/>
      <c r="L18" s="441">
        <v>3898</v>
      </c>
      <c r="M18" s="441"/>
      <c r="N18" s="441">
        <v>38872</v>
      </c>
      <c r="O18" s="441"/>
      <c r="P18" s="441">
        <f t="shared" si="1"/>
        <v>42770</v>
      </c>
      <c r="R18" s="441">
        <f t="shared" si="0"/>
        <v>308129</v>
      </c>
      <c r="T18" s="113">
        <v>10</v>
      </c>
      <c r="U18" s="253"/>
    </row>
    <row r="19" spans="1:27" x14ac:dyDescent="0.35">
      <c r="A19" s="236"/>
      <c r="B19" s="434">
        <v>3334</v>
      </c>
      <c r="D19" s="111" t="s">
        <v>508</v>
      </c>
      <c r="F19" s="441">
        <v>1575174</v>
      </c>
      <c r="G19" s="441"/>
      <c r="H19" s="441">
        <v>365397</v>
      </c>
      <c r="I19" s="441"/>
      <c r="J19" s="441">
        <v>0</v>
      </c>
      <c r="K19" s="441"/>
      <c r="L19" s="441">
        <v>62093</v>
      </c>
      <c r="M19" s="441"/>
      <c r="N19" s="441">
        <v>16899</v>
      </c>
      <c r="O19" s="441"/>
      <c r="P19" s="441">
        <f t="shared" si="1"/>
        <v>78992</v>
      </c>
      <c r="R19" s="441">
        <f t="shared" si="0"/>
        <v>444389</v>
      </c>
      <c r="T19" s="113">
        <v>40</v>
      </c>
      <c r="U19" s="253"/>
      <c r="Y19" s="433">
        <v>334</v>
      </c>
      <c r="AA19" s="111" t="s">
        <v>509</v>
      </c>
    </row>
    <row r="20" spans="1:27" x14ac:dyDescent="0.35">
      <c r="A20" s="236"/>
      <c r="B20" s="434">
        <v>3344</v>
      </c>
      <c r="D20" s="111" t="s">
        <v>510</v>
      </c>
      <c r="F20" s="441">
        <v>2800269</v>
      </c>
      <c r="G20" s="441"/>
      <c r="H20" s="441">
        <v>673779</v>
      </c>
      <c r="I20" s="441"/>
      <c r="J20" s="441">
        <v>-10988</v>
      </c>
      <c r="K20" s="441"/>
      <c r="L20" s="441">
        <v>131788</v>
      </c>
      <c r="M20" s="441"/>
      <c r="N20" s="441">
        <f>86759</f>
        <v>86759</v>
      </c>
      <c r="O20" s="441"/>
      <c r="P20" s="441">
        <f>+L20+N20</f>
        <v>218547</v>
      </c>
      <c r="R20" s="441">
        <f t="shared" si="0"/>
        <v>881338</v>
      </c>
      <c r="T20" s="113">
        <v>20</v>
      </c>
      <c r="U20" s="253"/>
      <c r="Y20" s="433">
        <v>334</v>
      </c>
      <c r="AA20" s="111" t="s">
        <v>509</v>
      </c>
    </row>
    <row r="21" spans="1:27" x14ac:dyDescent="0.35">
      <c r="A21" s="236"/>
      <c r="B21" s="434">
        <v>3345</v>
      </c>
      <c r="D21" s="111" t="s">
        <v>511</v>
      </c>
      <c r="F21" s="441">
        <v>1152841</v>
      </c>
      <c r="G21" s="441"/>
      <c r="H21" s="441">
        <v>576754</v>
      </c>
      <c r="I21" s="441"/>
      <c r="J21" s="441">
        <v>0</v>
      </c>
      <c r="K21" s="441"/>
      <c r="L21" s="441">
        <v>37211</v>
      </c>
      <c r="M21" s="441"/>
      <c r="N21" s="441">
        <v>766</v>
      </c>
      <c r="O21" s="441"/>
      <c r="P21" s="441">
        <f t="shared" si="1"/>
        <v>37977</v>
      </c>
      <c r="R21" s="441">
        <f t="shared" si="0"/>
        <v>614731</v>
      </c>
      <c r="T21" s="113">
        <v>45</v>
      </c>
      <c r="U21" s="253"/>
      <c r="Y21" s="433">
        <v>334</v>
      </c>
      <c r="AA21" s="111" t="s">
        <v>509</v>
      </c>
    </row>
    <row r="22" spans="1:27" x14ac:dyDescent="0.35">
      <c r="A22" s="236"/>
      <c r="B22" s="434">
        <v>3354</v>
      </c>
      <c r="D22" s="111" t="s">
        <v>512</v>
      </c>
      <c r="F22" s="441">
        <v>203501</v>
      </c>
      <c r="G22" s="441"/>
      <c r="H22" s="441">
        <v>78047</v>
      </c>
      <c r="I22" s="441"/>
      <c r="J22" s="441">
        <v>0</v>
      </c>
      <c r="K22" s="441"/>
      <c r="L22" s="441">
        <v>4067</v>
      </c>
      <c r="M22" s="441"/>
      <c r="N22" s="441">
        <v>0</v>
      </c>
      <c r="O22" s="441"/>
      <c r="P22" s="441">
        <f t="shared" si="1"/>
        <v>4067</v>
      </c>
      <c r="R22" s="441">
        <f t="shared" si="0"/>
        <v>82114</v>
      </c>
      <c r="T22" s="113">
        <v>50</v>
      </c>
      <c r="U22" s="253"/>
      <c r="Y22" s="433">
        <v>335</v>
      </c>
      <c r="AA22" s="111" t="s">
        <v>512</v>
      </c>
    </row>
    <row r="23" spans="1:27" x14ac:dyDescent="0.35">
      <c r="A23" s="236"/>
      <c r="B23" s="434">
        <v>3392</v>
      </c>
      <c r="D23" s="111" t="s">
        <v>513</v>
      </c>
      <c r="F23" s="441">
        <v>2569</v>
      </c>
      <c r="G23" s="441"/>
      <c r="H23" s="441">
        <v>2029</v>
      </c>
      <c r="I23" s="441"/>
      <c r="J23" s="441">
        <v>0</v>
      </c>
      <c r="K23" s="441"/>
      <c r="L23" s="441">
        <v>48</v>
      </c>
      <c r="M23" s="441"/>
      <c r="N23" s="441">
        <v>0</v>
      </c>
      <c r="O23" s="441"/>
      <c r="P23" s="441">
        <f t="shared" si="1"/>
        <v>48</v>
      </c>
      <c r="R23" s="441">
        <f t="shared" si="0"/>
        <v>2077</v>
      </c>
      <c r="T23" s="113">
        <v>50</v>
      </c>
      <c r="U23" s="253"/>
    </row>
    <row r="24" spans="1:27" x14ac:dyDescent="0.35">
      <c r="A24" s="236"/>
      <c r="B24" s="434">
        <v>3400</v>
      </c>
      <c r="D24" s="111" t="s">
        <v>514</v>
      </c>
      <c r="F24" s="441">
        <f>210367-127570</f>
        <v>82797</v>
      </c>
      <c r="G24" s="441"/>
      <c r="H24" s="441">
        <f>122220-79985</f>
        <v>42235</v>
      </c>
      <c r="I24" s="441"/>
      <c r="J24" s="441">
        <v>0</v>
      </c>
      <c r="K24" s="441"/>
      <c r="L24" s="441">
        <f>18191-8505</f>
        <v>9686</v>
      </c>
      <c r="M24" s="441"/>
      <c r="N24" s="441">
        <v>5706</v>
      </c>
      <c r="O24" s="441"/>
      <c r="P24" s="441">
        <f t="shared" si="1"/>
        <v>15392</v>
      </c>
      <c r="R24" s="441">
        <f t="shared" si="0"/>
        <v>57627</v>
      </c>
      <c r="T24" s="113">
        <v>5</v>
      </c>
      <c r="U24" s="253"/>
      <c r="Y24" s="433">
        <v>340</v>
      </c>
      <c r="AA24" s="111" t="s">
        <v>515</v>
      </c>
    </row>
    <row r="25" spans="1:27" x14ac:dyDescent="0.35">
      <c r="A25" s="236"/>
      <c r="B25" s="434">
        <v>3400</v>
      </c>
      <c r="D25" s="111" t="s">
        <v>516</v>
      </c>
      <c r="F25" s="441">
        <f>117603+6601+865+180+2321</f>
        <v>127570</v>
      </c>
      <c r="G25" s="441"/>
      <c r="H25" s="441">
        <f>117603+6601+865+180+2321-43121-2750-389-87-1238</f>
        <v>79985</v>
      </c>
      <c r="I25" s="441"/>
      <c r="J25" s="441">
        <v>0</v>
      </c>
      <c r="K25" s="441"/>
      <c r="L25" s="441">
        <f>7840+440+58+12+155</f>
        <v>8505</v>
      </c>
      <c r="M25" s="441"/>
      <c r="N25" s="441">
        <v>0</v>
      </c>
      <c r="O25" s="441"/>
      <c r="P25" s="441">
        <f t="shared" si="1"/>
        <v>8505</v>
      </c>
      <c r="R25" s="441">
        <f t="shared" si="0"/>
        <v>88490</v>
      </c>
      <c r="T25" s="113">
        <v>15</v>
      </c>
      <c r="U25" s="253"/>
    </row>
    <row r="26" spans="1:27" x14ac:dyDescent="0.35">
      <c r="A26" s="236"/>
      <c r="B26" s="434">
        <v>3401</v>
      </c>
      <c r="D26" s="111" t="s">
        <v>517</v>
      </c>
      <c r="F26" s="441">
        <v>58602</v>
      </c>
      <c r="G26" s="441"/>
      <c r="H26" s="441">
        <v>48003</v>
      </c>
      <c r="I26" s="441"/>
      <c r="J26" s="441">
        <v>0</v>
      </c>
      <c r="K26" s="441"/>
      <c r="L26" s="441">
        <v>4243</v>
      </c>
      <c r="M26" s="441"/>
      <c r="N26" s="441">
        <v>0</v>
      </c>
      <c r="O26" s="441"/>
      <c r="P26" s="441">
        <f t="shared" si="1"/>
        <v>4243</v>
      </c>
      <c r="R26" s="441">
        <f t="shared" si="0"/>
        <v>52246</v>
      </c>
      <c r="T26" s="113">
        <v>5</v>
      </c>
      <c r="U26" s="253"/>
      <c r="Y26" s="433">
        <v>340</v>
      </c>
      <c r="AA26" s="111" t="s">
        <v>515</v>
      </c>
    </row>
    <row r="27" spans="1:27" x14ac:dyDescent="0.35">
      <c r="A27" s="236"/>
      <c r="B27" s="434">
        <v>3405</v>
      </c>
      <c r="D27" s="111" t="s">
        <v>515</v>
      </c>
      <c r="F27" s="441">
        <v>91453</v>
      </c>
      <c r="G27" s="441"/>
      <c r="H27" s="441">
        <v>62891</v>
      </c>
      <c r="I27" s="441"/>
      <c r="J27" s="441">
        <v>0</v>
      </c>
      <c r="K27" s="441"/>
      <c r="L27" s="441">
        <v>1664</v>
      </c>
      <c r="M27" s="441"/>
      <c r="N27" s="441">
        <v>0</v>
      </c>
      <c r="O27" s="441"/>
      <c r="P27" s="441">
        <f t="shared" si="1"/>
        <v>1664</v>
      </c>
      <c r="R27" s="441">
        <f t="shared" si="0"/>
        <v>64555</v>
      </c>
      <c r="T27" s="442">
        <v>22.5</v>
      </c>
      <c r="U27" s="253"/>
      <c r="Y27" s="433">
        <v>340</v>
      </c>
      <c r="AA27" s="111" t="s">
        <v>518</v>
      </c>
    </row>
    <row r="28" spans="1:27" x14ac:dyDescent="0.35">
      <c r="A28" s="236"/>
      <c r="B28" s="434">
        <v>3415</v>
      </c>
      <c r="D28" s="111" t="s">
        <v>519</v>
      </c>
      <c r="F28" s="441">
        <v>55626</v>
      </c>
      <c r="G28" s="441"/>
      <c r="H28" s="441">
        <v>33104</v>
      </c>
      <c r="I28" s="441"/>
      <c r="J28" s="441">
        <v>0</v>
      </c>
      <c r="K28" s="441"/>
      <c r="L28" s="441">
        <v>4018</v>
      </c>
      <c r="M28" s="441"/>
      <c r="N28" s="441">
        <v>0</v>
      </c>
      <c r="O28" s="441"/>
      <c r="P28" s="441">
        <f t="shared" si="1"/>
        <v>4018</v>
      </c>
      <c r="R28" s="441">
        <f t="shared" si="0"/>
        <v>37122</v>
      </c>
      <c r="T28" s="113">
        <v>7</v>
      </c>
      <c r="U28" s="253"/>
      <c r="Y28" s="433">
        <v>341</v>
      </c>
      <c r="AA28" s="111" t="s">
        <v>519</v>
      </c>
    </row>
    <row r="29" spans="1:27" x14ac:dyDescent="0.35">
      <c r="A29" s="236"/>
      <c r="B29" s="434">
        <v>3435</v>
      </c>
      <c r="D29" s="111" t="s">
        <v>520</v>
      </c>
      <c r="F29" s="441">
        <v>28888</v>
      </c>
      <c r="G29" s="441"/>
      <c r="H29" s="441">
        <v>16993</v>
      </c>
      <c r="I29" s="441"/>
      <c r="J29" s="441">
        <v>0</v>
      </c>
      <c r="K29" s="441"/>
      <c r="L29" s="441">
        <v>1243</v>
      </c>
      <c r="M29" s="441"/>
      <c r="N29" s="441">
        <v>224</v>
      </c>
      <c r="O29" s="441"/>
      <c r="P29" s="441">
        <f t="shared" si="1"/>
        <v>1467</v>
      </c>
      <c r="R29" s="441">
        <f t="shared" si="0"/>
        <v>18460</v>
      </c>
      <c r="T29" s="442">
        <v>12.5</v>
      </c>
      <c r="U29" s="253"/>
      <c r="Y29" s="433">
        <v>347</v>
      </c>
      <c r="AA29" s="111" t="s">
        <v>521</v>
      </c>
    </row>
    <row r="30" spans="1:27" x14ac:dyDescent="0.35">
      <c r="A30" s="236"/>
      <c r="B30" s="434">
        <v>3465</v>
      </c>
      <c r="D30" s="111" t="s">
        <v>522</v>
      </c>
      <c r="F30" s="441">
        <v>41723</v>
      </c>
      <c r="G30" s="441"/>
      <c r="H30" s="441">
        <v>24595</v>
      </c>
      <c r="I30" s="441"/>
      <c r="J30" s="441">
        <v>0</v>
      </c>
      <c r="K30" s="441"/>
      <c r="L30" s="441">
        <v>3702</v>
      </c>
      <c r="M30" s="441"/>
      <c r="N30" s="441">
        <v>0</v>
      </c>
      <c r="O30" s="441"/>
      <c r="P30" s="441">
        <f t="shared" si="1"/>
        <v>3702</v>
      </c>
      <c r="R30" s="441">
        <f t="shared" si="0"/>
        <v>28297</v>
      </c>
      <c r="T30" s="113">
        <v>10</v>
      </c>
      <c r="U30" s="253"/>
    </row>
    <row r="31" spans="1:27" x14ac:dyDescent="0.35">
      <c r="A31" s="236"/>
      <c r="B31" s="434">
        <v>3475</v>
      </c>
      <c r="D31" s="111" t="s">
        <v>523</v>
      </c>
      <c r="F31" s="441">
        <v>4759</v>
      </c>
      <c r="G31" s="441"/>
      <c r="H31" s="441">
        <v>4668</v>
      </c>
      <c r="I31" s="441"/>
      <c r="J31" s="441">
        <v>0</v>
      </c>
      <c r="K31" s="441"/>
      <c r="L31" s="441">
        <v>0</v>
      </c>
      <c r="M31" s="441"/>
      <c r="N31" s="441">
        <v>62</v>
      </c>
      <c r="O31" s="441"/>
      <c r="P31" s="441">
        <f t="shared" si="1"/>
        <v>62</v>
      </c>
      <c r="R31" s="441">
        <f t="shared" si="0"/>
        <v>4730</v>
      </c>
      <c r="T31" s="113">
        <v>10</v>
      </c>
      <c r="U31" s="253"/>
    </row>
    <row r="32" spans="1:27" x14ac:dyDescent="0.35">
      <c r="A32" s="236"/>
      <c r="B32" s="434">
        <v>3485</v>
      </c>
      <c r="D32" s="111" t="s">
        <v>523</v>
      </c>
      <c r="F32" s="441">
        <v>6888</v>
      </c>
      <c r="G32" s="441"/>
      <c r="H32" s="441">
        <v>5708</v>
      </c>
      <c r="I32" s="441"/>
      <c r="J32" s="441">
        <v>0</v>
      </c>
      <c r="K32" s="441"/>
      <c r="L32" s="441">
        <v>132</v>
      </c>
      <c r="M32" s="441"/>
      <c r="N32" s="441">
        <v>0</v>
      </c>
      <c r="O32" s="441"/>
      <c r="P32" s="441">
        <f t="shared" si="1"/>
        <v>132</v>
      </c>
      <c r="R32" s="441">
        <f t="shared" si="0"/>
        <v>5840</v>
      </c>
      <c r="T32" s="113">
        <v>50</v>
      </c>
      <c r="U32" s="253"/>
      <c r="Y32" s="433">
        <v>347</v>
      </c>
      <c r="AA32" s="111" t="s">
        <v>524</v>
      </c>
    </row>
    <row r="33" spans="1:21" ht="13.9" thickBot="1" x14ac:dyDescent="0.4">
      <c r="A33" s="236"/>
      <c r="F33" s="443">
        <f>SUM(F8:F32)</f>
        <v>33081386</v>
      </c>
      <c r="H33" s="443">
        <f>SUM(H9:H32)</f>
        <v>13062536</v>
      </c>
      <c r="I33" s="444"/>
      <c r="J33" s="443">
        <f>SUM(J9:J32)</f>
        <v>-10988</v>
      </c>
      <c r="L33" s="443">
        <f>SUM(L9:L32)</f>
        <v>903606</v>
      </c>
      <c r="N33" s="443">
        <f>SUM(N9:N32)</f>
        <v>555623</v>
      </c>
      <c r="P33" s="443">
        <f>SUM(P9:P32)</f>
        <v>1459229</v>
      </c>
      <c r="R33" s="443">
        <f>SUM(R9:R32)</f>
        <v>14510777</v>
      </c>
      <c r="U33" s="253"/>
    </row>
    <row r="34" spans="1:21" ht="13.9" thickTop="1" x14ac:dyDescent="0.35">
      <c r="A34" s="237"/>
      <c r="B34" s="436"/>
      <c r="C34" s="234"/>
      <c r="D34" s="234"/>
      <c r="E34" s="234"/>
      <c r="F34" s="235"/>
      <c r="G34" s="234"/>
      <c r="H34" s="235"/>
      <c r="I34" s="235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115"/>
      <c r="U34" s="445"/>
    </row>
    <row r="35" spans="1:21" x14ac:dyDescent="0.35">
      <c r="A35" s="236"/>
      <c r="U35" s="253"/>
    </row>
    <row r="36" spans="1:21" x14ac:dyDescent="0.35">
      <c r="A36" s="236"/>
      <c r="B36" s="434" t="s">
        <v>200</v>
      </c>
      <c r="D36" s="111" t="s">
        <v>480</v>
      </c>
      <c r="P36" s="112">
        <f>-N33</f>
        <v>-555623</v>
      </c>
      <c r="U36" s="253"/>
    </row>
    <row r="37" spans="1:21" x14ac:dyDescent="0.35">
      <c r="A37" s="236"/>
      <c r="U37" s="253"/>
    </row>
    <row r="38" spans="1:21" x14ac:dyDescent="0.35">
      <c r="A38" s="236"/>
      <c r="B38" s="434" t="s">
        <v>209</v>
      </c>
      <c r="D38" s="446" t="s">
        <v>525</v>
      </c>
      <c r="F38" s="111"/>
      <c r="H38" s="111"/>
      <c r="I38" s="111"/>
      <c r="J38" s="111"/>
      <c r="L38" s="111"/>
      <c r="N38" s="111"/>
      <c r="P38" s="111"/>
      <c r="U38" s="253"/>
    </row>
    <row r="39" spans="1:21" x14ac:dyDescent="0.35">
      <c r="A39" s="236"/>
      <c r="D39" s="111" t="s">
        <v>448</v>
      </c>
      <c r="P39" s="112">
        <v>87240</v>
      </c>
      <c r="U39" s="253"/>
    </row>
    <row r="40" spans="1:21" x14ac:dyDescent="0.35">
      <c r="A40" s="236"/>
      <c r="D40" s="111" t="s">
        <v>453</v>
      </c>
      <c r="P40" s="112">
        <v>4849</v>
      </c>
      <c r="U40" s="253"/>
    </row>
    <row r="41" spans="1:21" x14ac:dyDescent="0.35">
      <c r="A41" s="236"/>
      <c r="D41" s="111" t="s">
        <v>454</v>
      </c>
      <c r="P41" s="112">
        <v>1372</v>
      </c>
      <c r="U41" s="253"/>
    </row>
    <row r="42" spans="1:21" x14ac:dyDescent="0.35">
      <c r="A42" s="236"/>
      <c r="D42" s="111" t="s">
        <v>455</v>
      </c>
      <c r="P42" s="112">
        <v>7516</v>
      </c>
      <c r="U42" s="253"/>
    </row>
    <row r="43" spans="1:21" x14ac:dyDescent="0.35">
      <c r="A43" s="236"/>
      <c r="D43" s="111" t="s">
        <v>456</v>
      </c>
      <c r="P43" s="112">
        <v>1961</v>
      </c>
      <c r="U43" s="253"/>
    </row>
    <row r="44" spans="1:21" x14ac:dyDescent="0.35">
      <c r="A44" s="236"/>
      <c r="D44" s="111" t="s">
        <v>457</v>
      </c>
      <c r="P44" s="112">
        <v>1742</v>
      </c>
      <c r="U44" s="253"/>
    </row>
    <row r="45" spans="1:21" x14ac:dyDescent="0.35">
      <c r="A45" s="236"/>
      <c r="U45" s="253"/>
    </row>
    <row r="46" spans="1:21" x14ac:dyDescent="0.35">
      <c r="A46" s="236"/>
      <c r="B46" s="434" t="s">
        <v>209</v>
      </c>
      <c r="D46" s="446" t="s">
        <v>481</v>
      </c>
      <c r="P46" s="112">
        <f>+N86</f>
        <v>75655</v>
      </c>
      <c r="U46" s="253"/>
    </row>
    <row r="47" spans="1:21" x14ac:dyDescent="0.35">
      <c r="A47" s="236"/>
      <c r="U47" s="253"/>
    </row>
    <row r="48" spans="1:21" x14ac:dyDescent="0.35">
      <c r="A48" s="236"/>
      <c r="B48" s="434" t="s">
        <v>198</v>
      </c>
      <c r="D48" s="111" t="s">
        <v>526</v>
      </c>
      <c r="P48" s="539">
        <f>SUM(P36:P47)</f>
        <v>-375288</v>
      </c>
      <c r="U48" s="253"/>
    </row>
    <row r="49" spans="1:21" x14ac:dyDescent="0.35">
      <c r="A49" s="236"/>
      <c r="U49" s="253"/>
    </row>
    <row r="50" spans="1:21" ht="13.9" thickBot="1" x14ac:dyDescent="0.4">
      <c r="A50" s="236"/>
      <c r="B50" s="434" t="s">
        <v>527</v>
      </c>
      <c r="D50" s="111" t="s">
        <v>528</v>
      </c>
      <c r="P50" s="450">
        <f>+P33+P48</f>
        <v>1083941</v>
      </c>
      <c r="U50" s="253"/>
    </row>
    <row r="51" spans="1:21" ht="13.9" thickTop="1" x14ac:dyDescent="0.35">
      <c r="A51" s="236"/>
      <c r="U51" s="253"/>
    </row>
    <row r="52" spans="1:21" x14ac:dyDescent="0.35">
      <c r="A52" s="236"/>
      <c r="U52" s="253"/>
    </row>
    <row r="53" spans="1:21" x14ac:dyDescent="0.35">
      <c r="A53" s="236"/>
      <c r="U53" s="253"/>
    </row>
    <row r="54" spans="1:21" ht="15" x14ac:dyDescent="0.4">
      <c r="A54" s="236"/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253"/>
    </row>
    <row r="55" spans="1:21" ht="22.15" x14ac:dyDescent="0.55000000000000004">
      <c r="A55" s="251"/>
      <c r="B55" s="626" t="s">
        <v>529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252"/>
    </row>
    <row r="56" spans="1:21" ht="22.15" x14ac:dyDescent="0.55000000000000004">
      <c r="A56" s="236"/>
      <c r="B56" s="624" t="s">
        <v>483</v>
      </c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253"/>
    </row>
    <row r="57" spans="1:21" x14ac:dyDescent="0.35">
      <c r="A57" s="236"/>
      <c r="U57" s="253"/>
    </row>
    <row r="58" spans="1:21" x14ac:dyDescent="0.35">
      <c r="A58" s="236"/>
      <c r="B58" s="434" t="s">
        <v>484</v>
      </c>
      <c r="F58" s="435" t="s">
        <v>485</v>
      </c>
      <c r="H58" s="435" t="s">
        <v>486</v>
      </c>
      <c r="I58" s="435"/>
      <c r="J58" s="435" t="s">
        <v>530</v>
      </c>
      <c r="L58" s="113">
        <v>2023</v>
      </c>
      <c r="N58" s="113" t="s">
        <v>531</v>
      </c>
      <c r="P58" s="113" t="s">
        <v>532</v>
      </c>
      <c r="R58" s="435" t="s">
        <v>486</v>
      </c>
      <c r="T58" s="113" t="s">
        <v>490</v>
      </c>
      <c r="U58" s="253"/>
    </row>
    <row r="59" spans="1:21" x14ac:dyDescent="0.35">
      <c r="A59" s="236"/>
      <c r="B59" s="436" t="s">
        <v>155</v>
      </c>
      <c r="D59" s="114" t="s">
        <v>491</v>
      </c>
      <c r="F59" s="437" t="s">
        <v>533</v>
      </c>
      <c r="H59" s="438">
        <v>44927</v>
      </c>
      <c r="I59" s="439"/>
      <c r="J59" s="438" t="s">
        <v>493</v>
      </c>
      <c r="L59" s="437" t="s">
        <v>494</v>
      </c>
      <c r="N59" s="437" t="s">
        <v>495</v>
      </c>
      <c r="P59" s="437" t="s">
        <v>496</v>
      </c>
      <c r="R59" s="438">
        <v>45291</v>
      </c>
      <c r="T59" s="115" t="s">
        <v>243</v>
      </c>
      <c r="U59" s="253"/>
    </row>
    <row r="60" spans="1:21" x14ac:dyDescent="0.35">
      <c r="A60" s="236"/>
      <c r="B60" s="434">
        <v>303</v>
      </c>
      <c r="D60" s="111" t="s">
        <v>497</v>
      </c>
      <c r="F60" s="440">
        <f>28714+60172+12130+505</f>
        <v>101521</v>
      </c>
      <c r="U60" s="253"/>
    </row>
    <row r="61" spans="1:21" x14ac:dyDescent="0.35">
      <c r="A61" s="236"/>
      <c r="B61" s="434">
        <v>3042</v>
      </c>
      <c r="D61" s="111" t="s">
        <v>499</v>
      </c>
      <c r="F61" s="441">
        <v>936214</v>
      </c>
      <c r="H61" s="440">
        <v>425713</v>
      </c>
      <c r="I61" s="440"/>
      <c r="J61" s="440">
        <v>0</v>
      </c>
      <c r="L61" s="440">
        <v>39325</v>
      </c>
      <c r="N61" s="440">
        <v>0</v>
      </c>
      <c r="P61" s="440">
        <f>+L61+N61</f>
        <v>39325</v>
      </c>
      <c r="R61" s="440">
        <f>+H61+P61+J61</f>
        <v>465038</v>
      </c>
      <c r="T61" s="442">
        <v>37.5</v>
      </c>
      <c r="U61" s="253"/>
    </row>
    <row r="62" spans="1:21" x14ac:dyDescent="0.35">
      <c r="A62" s="236"/>
      <c r="B62" s="434">
        <v>3043</v>
      </c>
      <c r="D62" s="111" t="s">
        <v>499</v>
      </c>
      <c r="F62" s="441">
        <v>397195</v>
      </c>
      <c r="G62" s="441"/>
      <c r="H62" s="441">
        <v>127380</v>
      </c>
      <c r="I62" s="441"/>
      <c r="J62" s="441">
        <v>0</v>
      </c>
      <c r="K62" s="441"/>
      <c r="L62" s="441">
        <v>14857</v>
      </c>
      <c r="M62" s="441"/>
      <c r="N62" s="441"/>
      <c r="O62" s="441"/>
      <c r="P62" s="441">
        <f>+L62+N62</f>
        <v>14857</v>
      </c>
      <c r="R62" s="441">
        <f>+H62+P62+J62</f>
        <v>142237</v>
      </c>
      <c r="T62" s="442">
        <v>37.5</v>
      </c>
      <c r="U62" s="253"/>
    </row>
    <row r="63" spans="1:21" x14ac:dyDescent="0.35">
      <c r="A63" s="236"/>
      <c r="B63" s="434">
        <v>3045</v>
      </c>
      <c r="D63" s="111" t="s">
        <v>499</v>
      </c>
      <c r="F63" s="441">
        <v>385991</v>
      </c>
      <c r="G63" s="441"/>
      <c r="H63" s="441">
        <v>179922</v>
      </c>
      <c r="I63" s="441"/>
      <c r="J63" s="441">
        <v>0</v>
      </c>
      <c r="K63" s="441"/>
      <c r="L63" s="441">
        <v>11137</v>
      </c>
      <c r="M63" s="441"/>
      <c r="N63" s="441"/>
      <c r="O63" s="441"/>
      <c r="P63" s="441">
        <f t="shared" ref="P63:P85" si="2">+L63+N63</f>
        <v>11137</v>
      </c>
      <c r="R63" s="441">
        <f t="shared" ref="R63:R85" si="3">+H63+P63+J63</f>
        <v>191059</v>
      </c>
      <c r="T63" s="442">
        <v>37.5</v>
      </c>
      <c r="U63" s="253"/>
    </row>
    <row r="64" spans="1:21" x14ac:dyDescent="0.35">
      <c r="A64" s="236"/>
      <c r="B64" s="434">
        <v>3065</v>
      </c>
      <c r="D64" s="111" t="s">
        <v>501</v>
      </c>
      <c r="F64" s="441">
        <v>31560</v>
      </c>
      <c r="G64" s="441"/>
      <c r="H64" s="441">
        <v>10318</v>
      </c>
      <c r="I64" s="441"/>
      <c r="J64" s="441">
        <v>0</v>
      </c>
      <c r="K64" s="441"/>
      <c r="L64" s="441">
        <v>636</v>
      </c>
      <c r="M64" s="441"/>
      <c r="N64" s="441"/>
      <c r="O64" s="441"/>
      <c r="P64" s="441">
        <f t="shared" si="2"/>
        <v>636</v>
      </c>
      <c r="R64" s="441">
        <f t="shared" si="3"/>
        <v>10954</v>
      </c>
      <c r="T64" s="113">
        <v>50</v>
      </c>
      <c r="U64" s="253"/>
    </row>
    <row r="65" spans="1:21" x14ac:dyDescent="0.35">
      <c r="A65" s="236"/>
      <c r="B65" s="434">
        <v>3095</v>
      </c>
      <c r="D65" s="111" t="s">
        <v>502</v>
      </c>
      <c r="F65" s="441">
        <v>3067</v>
      </c>
      <c r="G65" s="441"/>
      <c r="H65" s="441">
        <v>2611</v>
      </c>
      <c r="I65" s="441"/>
      <c r="J65" s="441">
        <v>0</v>
      </c>
      <c r="K65" s="441"/>
      <c r="L65" s="441">
        <v>61</v>
      </c>
      <c r="M65" s="441"/>
      <c r="N65" s="441"/>
      <c r="O65" s="441"/>
      <c r="P65" s="441">
        <f t="shared" si="2"/>
        <v>61</v>
      </c>
      <c r="R65" s="441">
        <f t="shared" si="3"/>
        <v>2672</v>
      </c>
      <c r="T65" s="113">
        <v>50</v>
      </c>
      <c r="U65" s="253"/>
    </row>
    <row r="66" spans="1:21" x14ac:dyDescent="0.35">
      <c r="A66" s="236"/>
      <c r="B66" s="434">
        <v>311</v>
      </c>
      <c r="D66" s="111" t="s">
        <v>503</v>
      </c>
      <c r="F66" s="441">
        <f>182300+40570</f>
        <v>222870</v>
      </c>
      <c r="G66" s="441"/>
      <c r="H66" s="441">
        <v>207923</v>
      </c>
      <c r="I66" s="441"/>
      <c r="J66" s="441">
        <v>0</v>
      </c>
      <c r="K66" s="441"/>
      <c r="L66" s="441">
        <v>1717</v>
      </c>
      <c r="M66" s="441"/>
      <c r="N66" s="441"/>
      <c r="O66" s="441"/>
      <c r="P66" s="441">
        <f t="shared" si="2"/>
        <v>1717</v>
      </c>
      <c r="R66" s="441">
        <f t="shared" si="3"/>
        <v>209640</v>
      </c>
      <c r="T66" s="113">
        <v>20</v>
      </c>
      <c r="U66" s="253"/>
    </row>
    <row r="67" spans="1:21" x14ac:dyDescent="0.35">
      <c r="A67" s="236"/>
      <c r="B67" s="434">
        <v>320</v>
      </c>
      <c r="D67" s="111" t="s">
        <v>504</v>
      </c>
      <c r="F67" s="441">
        <f>4939969+32112</f>
        <v>4972081</v>
      </c>
      <c r="G67" s="441"/>
      <c r="H67" s="441">
        <v>2083723</v>
      </c>
      <c r="I67" s="441"/>
      <c r="J67" s="441">
        <v>0</v>
      </c>
      <c r="K67" s="441"/>
      <c r="L67" s="441">
        <f>266442+60</f>
        <v>266502</v>
      </c>
      <c r="M67" s="441"/>
      <c r="N67" s="441"/>
      <c r="O67" s="441"/>
      <c r="P67" s="441">
        <f t="shared" si="2"/>
        <v>266502</v>
      </c>
      <c r="R67" s="441">
        <f t="shared" si="3"/>
        <v>2350225</v>
      </c>
      <c r="T67" s="442">
        <v>27.5</v>
      </c>
      <c r="U67" s="253"/>
    </row>
    <row r="68" spans="1:21" x14ac:dyDescent="0.35">
      <c r="A68" s="236"/>
      <c r="B68" s="434">
        <v>3304</v>
      </c>
      <c r="D68" s="111" t="s">
        <v>505</v>
      </c>
      <c r="F68" s="441">
        <v>4187806</v>
      </c>
      <c r="G68" s="441"/>
      <c r="H68" s="441">
        <v>1643677</v>
      </c>
      <c r="I68" s="441"/>
      <c r="J68" s="441">
        <v>0</v>
      </c>
      <c r="K68" s="441"/>
      <c r="L68" s="441">
        <v>130955</v>
      </c>
      <c r="M68" s="441"/>
      <c r="N68" s="441"/>
      <c r="O68" s="441"/>
      <c r="P68" s="441">
        <f t="shared" si="2"/>
        <v>130955</v>
      </c>
      <c r="R68" s="441">
        <f t="shared" si="3"/>
        <v>1774632</v>
      </c>
      <c r="T68" s="113">
        <v>45</v>
      </c>
      <c r="U68" s="253"/>
    </row>
    <row r="69" spans="1:21" x14ac:dyDescent="0.35">
      <c r="A69" s="236"/>
      <c r="B69" s="434">
        <v>3314</v>
      </c>
      <c r="D69" s="111" t="s">
        <v>506</v>
      </c>
      <c r="F69" s="441">
        <v>15292820</v>
      </c>
      <c r="G69" s="441"/>
      <c r="H69" s="441">
        <v>7139365</v>
      </c>
      <c r="I69" s="441"/>
      <c r="J69" s="441">
        <v>0</v>
      </c>
      <c r="K69" s="441"/>
      <c r="L69" s="441">
        <v>194184</v>
      </c>
      <c r="M69" s="441"/>
      <c r="N69" s="441"/>
      <c r="O69" s="441"/>
      <c r="P69" s="441">
        <f t="shared" si="2"/>
        <v>194184</v>
      </c>
      <c r="R69" s="441">
        <f t="shared" si="3"/>
        <v>7333549</v>
      </c>
      <c r="T69" s="442">
        <v>62.5</v>
      </c>
      <c r="U69" s="253"/>
    </row>
    <row r="70" spans="1:21" x14ac:dyDescent="0.35">
      <c r="A70" s="236"/>
      <c r="B70" s="434">
        <v>3324</v>
      </c>
      <c r="D70" s="111" t="s">
        <v>507</v>
      </c>
      <c r="F70" s="441">
        <v>35794</v>
      </c>
      <c r="G70" s="441"/>
      <c r="H70" s="441">
        <v>308129</v>
      </c>
      <c r="I70" s="441"/>
      <c r="J70" s="441">
        <v>-308500.53000000003</v>
      </c>
      <c r="K70" s="441"/>
      <c r="L70" s="441">
        <v>4026</v>
      </c>
      <c r="M70" s="441"/>
      <c r="N70" s="441"/>
      <c r="O70" s="441"/>
      <c r="P70" s="441">
        <f t="shared" si="2"/>
        <v>4026</v>
      </c>
      <c r="R70" s="441">
        <f t="shared" si="3"/>
        <v>3654.4699999999721</v>
      </c>
      <c r="T70" s="113">
        <v>10</v>
      </c>
      <c r="U70" s="253"/>
    </row>
    <row r="71" spans="1:21" x14ac:dyDescent="0.35">
      <c r="A71" s="236"/>
      <c r="B71" s="434">
        <v>3334</v>
      </c>
      <c r="D71" s="111" t="s">
        <v>508</v>
      </c>
      <c r="F71" s="441">
        <v>1627145</v>
      </c>
      <c r="G71" s="441"/>
      <c r="H71" s="441">
        <v>444389</v>
      </c>
      <c r="I71" s="441"/>
      <c r="J71" s="441">
        <v>0</v>
      </c>
      <c r="K71" s="441"/>
      <c r="L71" s="441">
        <v>55710</v>
      </c>
      <c r="M71" s="441"/>
      <c r="N71" s="441"/>
      <c r="O71" s="441"/>
      <c r="P71" s="441">
        <f t="shared" si="2"/>
        <v>55710</v>
      </c>
      <c r="R71" s="441">
        <f t="shared" si="3"/>
        <v>500099</v>
      </c>
      <c r="T71" s="113">
        <v>40</v>
      </c>
      <c r="U71" s="253"/>
    </row>
    <row r="72" spans="1:21" x14ac:dyDescent="0.35">
      <c r="A72" s="236"/>
      <c r="B72" s="434">
        <v>3344</v>
      </c>
      <c r="D72" s="111" t="s">
        <v>510</v>
      </c>
      <c r="F72" s="441">
        <f>2821970-635229-3796</f>
        <v>2182945</v>
      </c>
      <c r="G72" s="441"/>
      <c r="H72" s="441">
        <v>881338</v>
      </c>
      <c r="I72" s="441"/>
      <c r="J72" s="441">
        <v>0</v>
      </c>
      <c r="K72" s="441"/>
      <c r="L72" s="441">
        <f>207890-75655-39</f>
        <v>132196</v>
      </c>
      <c r="M72" s="441"/>
      <c r="N72" s="441"/>
      <c r="O72" s="441"/>
      <c r="P72" s="441">
        <f t="shared" si="2"/>
        <v>132196</v>
      </c>
      <c r="R72" s="441">
        <f t="shared" si="3"/>
        <v>1013534</v>
      </c>
      <c r="T72" s="113">
        <v>20</v>
      </c>
      <c r="U72" s="253"/>
    </row>
    <row r="73" spans="1:21" x14ac:dyDescent="0.35">
      <c r="A73" s="236"/>
      <c r="B73" s="434">
        <v>3344</v>
      </c>
      <c r="D73" s="111" t="s">
        <v>534</v>
      </c>
      <c r="F73" s="441">
        <f>635229+3796</f>
        <v>639025</v>
      </c>
      <c r="G73" s="441"/>
      <c r="H73" s="441"/>
      <c r="I73" s="441"/>
      <c r="J73" s="441">
        <v>0</v>
      </c>
      <c r="K73" s="441"/>
      <c r="L73" s="441">
        <v>39</v>
      </c>
      <c r="M73" s="441"/>
      <c r="N73" s="441">
        <v>75655</v>
      </c>
      <c r="O73" s="441"/>
      <c r="P73" s="441">
        <f t="shared" si="2"/>
        <v>75694</v>
      </c>
      <c r="R73" s="441">
        <f t="shared" si="3"/>
        <v>75694</v>
      </c>
      <c r="T73" s="113">
        <v>10</v>
      </c>
      <c r="U73" s="253"/>
    </row>
    <row r="74" spans="1:21" x14ac:dyDescent="0.35">
      <c r="A74" s="236"/>
      <c r="B74" s="434">
        <v>3345</v>
      </c>
      <c r="D74" s="111" t="s">
        <v>511</v>
      </c>
      <c r="F74" s="441">
        <v>1173940</v>
      </c>
      <c r="G74" s="441"/>
      <c r="H74" s="441">
        <v>614731</v>
      </c>
      <c r="I74" s="441"/>
      <c r="J74" s="441">
        <v>0</v>
      </c>
      <c r="K74" s="441"/>
      <c r="L74" s="441">
        <v>33416</v>
      </c>
      <c r="M74" s="441"/>
      <c r="N74" s="441"/>
      <c r="O74" s="441"/>
      <c r="P74" s="441">
        <f t="shared" si="2"/>
        <v>33416</v>
      </c>
      <c r="R74" s="441">
        <f t="shared" si="3"/>
        <v>648147</v>
      </c>
      <c r="T74" s="113">
        <v>45</v>
      </c>
      <c r="U74" s="253"/>
    </row>
    <row r="75" spans="1:21" x14ac:dyDescent="0.35">
      <c r="A75" s="236"/>
      <c r="B75" s="434">
        <v>3354</v>
      </c>
      <c r="D75" s="111" t="s">
        <v>512</v>
      </c>
      <c r="F75" s="441">
        <v>203500</v>
      </c>
      <c r="G75" s="441"/>
      <c r="H75" s="441">
        <v>82114</v>
      </c>
      <c r="I75" s="441"/>
      <c r="J75" s="441">
        <v>0</v>
      </c>
      <c r="K75" s="441"/>
      <c r="L75" s="441">
        <v>4018</v>
      </c>
      <c r="M75" s="441"/>
      <c r="N75" s="441"/>
      <c r="O75" s="441"/>
      <c r="P75" s="441">
        <f t="shared" si="2"/>
        <v>4018</v>
      </c>
      <c r="R75" s="441">
        <f t="shared" si="3"/>
        <v>86132</v>
      </c>
      <c r="T75" s="113">
        <v>50</v>
      </c>
      <c r="U75" s="253"/>
    </row>
    <row r="76" spans="1:21" x14ac:dyDescent="0.35">
      <c r="A76" s="236"/>
      <c r="B76" s="434">
        <v>3392</v>
      </c>
      <c r="D76" s="111" t="s">
        <v>513</v>
      </c>
      <c r="F76" s="441">
        <v>2569</v>
      </c>
      <c r="G76" s="441"/>
      <c r="H76" s="441">
        <v>2077</v>
      </c>
      <c r="I76" s="441"/>
      <c r="J76" s="441">
        <v>0</v>
      </c>
      <c r="K76" s="441"/>
      <c r="L76" s="441">
        <v>49</v>
      </c>
      <c r="M76" s="441"/>
      <c r="N76" s="441"/>
      <c r="O76" s="441"/>
      <c r="P76" s="441">
        <f t="shared" si="2"/>
        <v>49</v>
      </c>
      <c r="R76" s="441">
        <f t="shared" si="3"/>
        <v>2126</v>
      </c>
      <c r="T76" s="113">
        <v>50</v>
      </c>
      <c r="U76" s="253"/>
    </row>
    <row r="77" spans="1:21" x14ac:dyDescent="0.35">
      <c r="A77" s="236"/>
      <c r="B77" s="434">
        <v>3400</v>
      </c>
      <c r="D77" s="111" t="s">
        <v>514</v>
      </c>
      <c r="F77" s="441">
        <f>221984-127570</f>
        <v>94414</v>
      </c>
      <c r="G77" s="441"/>
      <c r="H77" s="441">
        <v>57627</v>
      </c>
      <c r="I77" s="441"/>
      <c r="J77" s="441">
        <v>0</v>
      </c>
      <c r="K77" s="441"/>
      <c r="L77" s="441">
        <f>-8505+17384</f>
        <v>8879</v>
      </c>
      <c r="M77" s="441"/>
      <c r="N77" s="441"/>
      <c r="O77" s="441"/>
      <c r="P77" s="441">
        <f t="shared" si="2"/>
        <v>8879</v>
      </c>
      <c r="R77" s="441">
        <f t="shared" si="3"/>
        <v>66506</v>
      </c>
      <c r="T77" s="113">
        <v>5</v>
      </c>
      <c r="U77" s="253"/>
    </row>
    <row r="78" spans="1:21" x14ac:dyDescent="0.35">
      <c r="A78" s="236"/>
      <c r="B78" s="434">
        <v>3400</v>
      </c>
      <c r="D78" s="111" t="s">
        <v>516</v>
      </c>
      <c r="F78" s="441">
        <f>117603+6601+865+180+2321</f>
        <v>127570</v>
      </c>
      <c r="G78" s="441"/>
      <c r="H78" s="441">
        <v>88490</v>
      </c>
      <c r="I78" s="441"/>
      <c r="J78" s="441">
        <v>0</v>
      </c>
      <c r="K78" s="441"/>
      <c r="L78" s="441">
        <f>7840+440+58+12+155</f>
        <v>8505</v>
      </c>
      <c r="M78" s="441"/>
      <c r="N78" s="441"/>
      <c r="O78" s="441"/>
      <c r="P78" s="441">
        <f t="shared" si="2"/>
        <v>8505</v>
      </c>
      <c r="R78" s="441">
        <f t="shared" si="3"/>
        <v>96995</v>
      </c>
      <c r="T78" s="113">
        <v>15</v>
      </c>
      <c r="U78" s="253"/>
    </row>
    <row r="79" spans="1:21" x14ac:dyDescent="0.35">
      <c r="A79" s="236"/>
      <c r="B79" s="434">
        <v>3401</v>
      </c>
      <c r="D79" s="111" t="s">
        <v>517</v>
      </c>
      <c r="F79" s="441">
        <v>47112</v>
      </c>
      <c r="G79" s="441"/>
      <c r="H79" s="441">
        <v>52246</v>
      </c>
      <c r="I79" s="441"/>
      <c r="J79" s="441">
        <v>-13654.06</v>
      </c>
      <c r="K79" s="441"/>
      <c r="L79" s="441">
        <v>3354</v>
      </c>
      <c r="M79" s="441"/>
      <c r="N79" s="441"/>
      <c r="O79" s="441"/>
      <c r="P79" s="441">
        <f t="shared" si="2"/>
        <v>3354</v>
      </c>
      <c r="R79" s="441">
        <f t="shared" si="3"/>
        <v>41945.94</v>
      </c>
      <c r="T79" s="113">
        <v>5</v>
      </c>
      <c r="U79" s="253"/>
    </row>
    <row r="80" spans="1:21" x14ac:dyDescent="0.35">
      <c r="A80" s="236"/>
      <c r="B80" s="434">
        <v>3405</v>
      </c>
      <c r="D80" s="111" t="s">
        <v>515</v>
      </c>
      <c r="F80" s="441">
        <v>78370</v>
      </c>
      <c r="G80" s="441"/>
      <c r="H80" s="441">
        <v>64555</v>
      </c>
      <c r="I80" s="441"/>
      <c r="J80" s="441">
        <v>-13083</v>
      </c>
      <c r="K80" s="441"/>
      <c r="L80" s="441">
        <v>1401</v>
      </c>
      <c r="M80" s="441"/>
      <c r="N80" s="441"/>
      <c r="O80" s="441"/>
      <c r="P80" s="441">
        <f t="shared" si="2"/>
        <v>1401</v>
      </c>
      <c r="R80" s="441">
        <f t="shared" si="3"/>
        <v>52873</v>
      </c>
      <c r="T80" s="442">
        <v>22.5</v>
      </c>
      <c r="U80" s="253"/>
    </row>
    <row r="81" spans="1:21" x14ac:dyDescent="0.35">
      <c r="A81" s="236"/>
      <c r="B81" s="434">
        <v>3415</v>
      </c>
      <c r="D81" s="111" t="s">
        <v>519</v>
      </c>
      <c r="F81" s="441">
        <v>55626</v>
      </c>
      <c r="G81" s="441"/>
      <c r="H81" s="441">
        <v>37122</v>
      </c>
      <c r="I81" s="441"/>
      <c r="J81" s="441">
        <v>0</v>
      </c>
      <c r="K81" s="441"/>
      <c r="L81" s="441">
        <v>4018</v>
      </c>
      <c r="M81" s="441"/>
      <c r="N81" s="441"/>
      <c r="O81" s="441"/>
      <c r="P81" s="441">
        <f t="shared" si="2"/>
        <v>4018</v>
      </c>
      <c r="R81" s="441">
        <f t="shared" si="3"/>
        <v>41140</v>
      </c>
      <c r="T81" s="113">
        <v>7</v>
      </c>
      <c r="U81" s="253"/>
    </row>
    <row r="82" spans="1:21" x14ac:dyDescent="0.35">
      <c r="A82" s="236"/>
      <c r="B82" s="434">
        <v>3435</v>
      </c>
      <c r="D82" s="111" t="s">
        <v>520</v>
      </c>
      <c r="F82" s="441">
        <v>30238</v>
      </c>
      <c r="G82" s="441"/>
      <c r="H82" s="441">
        <v>18460</v>
      </c>
      <c r="I82" s="441"/>
      <c r="J82" s="441">
        <v>0</v>
      </c>
      <c r="K82" s="441"/>
      <c r="L82" s="441">
        <v>1219</v>
      </c>
      <c r="M82" s="441"/>
      <c r="N82" s="441"/>
      <c r="O82" s="441"/>
      <c r="P82" s="441">
        <f t="shared" si="2"/>
        <v>1219</v>
      </c>
      <c r="R82" s="441">
        <f t="shared" si="3"/>
        <v>19679</v>
      </c>
      <c r="T82" s="442">
        <v>12.5</v>
      </c>
      <c r="U82" s="253"/>
    </row>
    <row r="83" spans="1:21" x14ac:dyDescent="0.35">
      <c r="A83" s="236"/>
      <c r="B83" s="434">
        <v>3465</v>
      </c>
      <c r="D83" s="111" t="s">
        <v>522</v>
      </c>
      <c r="F83" s="441">
        <v>41723</v>
      </c>
      <c r="G83" s="441"/>
      <c r="H83" s="441">
        <v>28297</v>
      </c>
      <c r="I83" s="441"/>
      <c r="J83" s="441">
        <v>0</v>
      </c>
      <c r="K83" s="441"/>
      <c r="L83" s="441">
        <v>3468</v>
      </c>
      <c r="M83" s="441"/>
      <c r="N83" s="441"/>
      <c r="O83" s="441"/>
      <c r="P83" s="441">
        <f t="shared" si="2"/>
        <v>3468</v>
      </c>
      <c r="R83" s="441">
        <f t="shared" si="3"/>
        <v>31765</v>
      </c>
      <c r="T83" s="113">
        <v>10</v>
      </c>
      <c r="U83" s="253"/>
    </row>
    <row r="84" spans="1:21" x14ac:dyDescent="0.35">
      <c r="A84" s="236"/>
      <c r="B84" s="434">
        <v>3475</v>
      </c>
      <c r="D84" s="111" t="s">
        <v>523</v>
      </c>
      <c r="F84" s="441">
        <v>0</v>
      </c>
      <c r="G84" s="441"/>
      <c r="H84" s="441">
        <v>4730</v>
      </c>
      <c r="I84" s="441"/>
      <c r="J84" s="441">
        <v>-4759</v>
      </c>
      <c r="K84" s="441"/>
      <c r="L84" s="441">
        <v>0</v>
      </c>
      <c r="M84" s="441"/>
      <c r="N84" s="441"/>
      <c r="O84" s="441"/>
      <c r="P84" s="441">
        <f t="shared" si="2"/>
        <v>0</v>
      </c>
      <c r="R84" s="441">
        <f t="shared" si="3"/>
        <v>-29</v>
      </c>
      <c r="T84" s="113">
        <v>10</v>
      </c>
      <c r="U84" s="253"/>
    </row>
    <row r="85" spans="1:21" x14ac:dyDescent="0.35">
      <c r="A85" s="236"/>
      <c r="B85" s="434">
        <v>3485</v>
      </c>
      <c r="D85" s="111" t="s">
        <v>523</v>
      </c>
      <c r="F85" s="441">
        <v>6888</v>
      </c>
      <c r="G85" s="441"/>
      <c r="H85" s="441">
        <v>5840</v>
      </c>
      <c r="I85" s="441"/>
      <c r="J85" s="441">
        <v>0</v>
      </c>
      <c r="K85" s="441"/>
      <c r="L85" s="441">
        <v>143</v>
      </c>
      <c r="M85" s="441"/>
      <c r="N85" s="441"/>
      <c r="O85" s="441"/>
      <c r="P85" s="441">
        <f t="shared" si="2"/>
        <v>143</v>
      </c>
      <c r="R85" s="441">
        <f t="shared" si="3"/>
        <v>5983</v>
      </c>
      <c r="T85" s="113">
        <v>50</v>
      </c>
      <c r="U85" s="253"/>
    </row>
    <row r="86" spans="1:21" ht="13.9" thickBot="1" x14ac:dyDescent="0.4">
      <c r="A86" s="236"/>
      <c r="F86" s="443">
        <f>SUM(F60:F85)</f>
        <v>32877984</v>
      </c>
      <c r="H86" s="443">
        <f>SUM(H61:H85)</f>
        <v>14510777</v>
      </c>
      <c r="I86" s="444"/>
      <c r="J86" s="443">
        <f>SUM(J61:J85)</f>
        <v>-339996.59</v>
      </c>
      <c r="L86" s="443">
        <f>SUM(L61:L85)</f>
        <v>919815</v>
      </c>
      <c r="N86" s="443">
        <f>SUM(N61:N85)</f>
        <v>75655</v>
      </c>
      <c r="P86" s="443">
        <f>SUM(P61:P85)</f>
        <v>995470</v>
      </c>
      <c r="R86" s="443">
        <f>SUM(R61:R85)</f>
        <v>15166250.41</v>
      </c>
      <c r="U86" s="253"/>
    </row>
    <row r="87" spans="1:21" ht="13.9" thickTop="1" x14ac:dyDescent="0.35">
      <c r="A87" s="237"/>
      <c r="B87" s="436"/>
      <c r="C87" s="234"/>
      <c r="D87" s="234"/>
      <c r="E87" s="234"/>
      <c r="F87" s="235">
        <v>32877984</v>
      </c>
      <c r="G87" s="234"/>
      <c r="H87" s="235">
        <v>14510777</v>
      </c>
      <c r="I87" s="235"/>
      <c r="J87" s="235">
        <v>-339996.59</v>
      </c>
      <c r="K87" s="234"/>
      <c r="L87" s="235">
        <v>919815</v>
      </c>
      <c r="M87" s="234"/>
      <c r="N87" s="235">
        <v>75655</v>
      </c>
      <c r="O87" s="234"/>
      <c r="P87" s="235">
        <v>995470</v>
      </c>
      <c r="Q87" s="234"/>
      <c r="R87" s="235">
        <v>15166250.41</v>
      </c>
      <c r="S87" s="234"/>
      <c r="T87" s="115"/>
      <c r="U87" s="445"/>
    </row>
    <row r="88" spans="1:21" x14ac:dyDescent="0.35">
      <c r="A88" s="236"/>
      <c r="U88" s="253"/>
    </row>
    <row r="89" spans="1:21" x14ac:dyDescent="0.35">
      <c r="A89" s="236"/>
      <c r="U89" s="253"/>
    </row>
    <row r="90" spans="1:21" ht="13.9" x14ac:dyDescent="0.4">
      <c r="A90" s="236"/>
      <c r="D90" s="111" t="s">
        <v>535</v>
      </c>
      <c r="L90" s="451">
        <f>+L86</f>
        <v>919815</v>
      </c>
      <c r="U90" s="253"/>
    </row>
    <row r="91" spans="1:21" ht="13.9" x14ac:dyDescent="0.4">
      <c r="A91" s="236"/>
      <c r="D91" s="111" t="s">
        <v>536</v>
      </c>
      <c r="L91" s="451">
        <f>+N86</f>
        <v>75655</v>
      </c>
      <c r="U91" s="253"/>
    </row>
    <row r="92" spans="1:21" ht="13.9" x14ac:dyDescent="0.4">
      <c r="A92" s="237"/>
      <c r="B92" s="436"/>
      <c r="C92" s="234"/>
      <c r="D92" s="234" t="s">
        <v>537</v>
      </c>
      <c r="E92" s="234"/>
      <c r="F92" s="235"/>
      <c r="G92" s="234"/>
      <c r="H92" s="235"/>
      <c r="I92" s="235"/>
      <c r="J92" s="235"/>
      <c r="K92" s="234"/>
      <c r="L92" s="540">
        <f>+L90+L91</f>
        <v>995470</v>
      </c>
      <c r="M92" s="234"/>
      <c r="N92" s="235"/>
      <c r="O92" s="234"/>
      <c r="P92" s="540"/>
      <c r="Q92" s="234"/>
      <c r="R92" s="235"/>
      <c r="S92" s="234"/>
      <c r="T92" s="115"/>
      <c r="U92" s="445"/>
    </row>
  </sheetData>
  <mergeCells count="7">
    <mergeCell ref="B56:T56"/>
    <mergeCell ref="B2:T2"/>
    <mergeCell ref="B1:T1"/>
    <mergeCell ref="B3:T3"/>
    <mergeCell ref="B4:T4"/>
    <mergeCell ref="B54:T54"/>
    <mergeCell ref="B55:T5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6716-2944-4F60-9073-2388830C9D71}">
  <dimension ref="B1:N24"/>
  <sheetViews>
    <sheetView showGridLines="0" workbookViewId="0">
      <selection activeCell="B2" sqref="B2:M20"/>
    </sheetView>
  </sheetViews>
  <sheetFormatPr defaultColWidth="8.88671875" defaultRowHeight="13.5" x14ac:dyDescent="0.35"/>
  <cols>
    <col min="1" max="1" width="8.88671875" style="117"/>
    <col min="2" max="2" width="1.6640625" style="117" customWidth="1"/>
    <col min="3" max="3" width="12.5546875" style="117" customWidth="1"/>
    <col min="4" max="4" width="14.77734375" style="117" customWidth="1"/>
    <col min="5" max="5" width="1.77734375" style="117" customWidth="1"/>
    <col min="6" max="6" width="14.77734375" style="117" customWidth="1"/>
    <col min="7" max="7" width="1.77734375" style="117" customWidth="1"/>
    <col min="8" max="8" width="14.77734375" style="117" customWidth="1"/>
    <col min="9" max="9" width="0.77734375" style="117" customWidth="1"/>
    <col min="10" max="10" width="14.77734375" style="117" customWidth="1"/>
    <col min="11" max="11" width="0.77734375" style="117" customWidth="1"/>
    <col min="12" max="12" width="14.77734375" style="117" customWidth="1"/>
    <col min="13" max="13" width="1.77734375" style="117" customWidth="1"/>
    <col min="14" max="15" width="8.88671875" style="117"/>
    <col min="16" max="16" width="9" style="117" bestFit="1" customWidth="1"/>
    <col min="17" max="16384" width="8.88671875" style="117"/>
  </cols>
  <sheetData>
    <row r="1" spans="2:14" ht="15" x14ac:dyDescent="0.4">
      <c r="B1" s="116"/>
    </row>
    <row r="2" spans="2:14" ht="15" x14ac:dyDescent="0.4">
      <c r="B2" s="152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2:14" ht="17.649999999999999" x14ac:dyDescent="0.5">
      <c r="B3" s="153"/>
      <c r="C3" s="628" t="s">
        <v>239</v>
      </c>
      <c r="D3" s="628"/>
      <c r="E3" s="628"/>
      <c r="F3" s="628"/>
      <c r="G3" s="628"/>
      <c r="H3" s="628"/>
      <c r="I3" s="628"/>
      <c r="J3" s="628"/>
      <c r="K3" s="628"/>
      <c r="L3" s="628"/>
      <c r="M3" s="120"/>
    </row>
    <row r="4" spans="2:14" ht="17.649999999999999" x14ac:dyDescent="0.5">
      <c r="B4" s="153"/>
      <c r="C4" s="628" t="s">
        <v>29</v>
      </c>
      <c r="D4" s="628"/>
      <c r="E4" s="628"/>
      <c r="F4" s="628"/>
      <c r="G4" s="628"/>
      <c r="H4" s="628"/>
      <c r="I4" s="628"/>
      <c r="J4" s="628"/>
      <c r="K4" s="628"/>
      <c r="L4" s="628"/>
      <c r="M4" s="120"/>
    </row>
    <row r="5" spans="2:14" ht="17.649999999999999" x14ac:dyDescent="0.5">
      <c r="B5" s="153"/>
      <c r="C5" s="628" t="str">
        <f>Adj!B1</f>
        <v>Butler County Water System, Inc.</v>
      </c>
      <c r="D5" s="628"/>
      <c r="E5" s="628"/>
      <c r="F5" s="628"/>
      <c r="G5" s="628"/>
      <c r="H5" s="628"/>
      <c r="I5" s="628"/>
      <c r="J5" s="628"/>
      <c r="K5" s="628"/>
      <c r="L5" s="628"/>
      <c r="M5" s="120"/>
      <c r="N5" s="121"/>
    </row>
    <row r="6" spans="2:14" ht="17.25" x14ac:dyDescent="0.45">
      <c r="B6" s="153"/>
      <c r="C6" s="629" t="s">
        <v>219</v>
      </c>
      <c r="D6" s="629"/>
      <c r="E6" s="629"/>
      <c r="F6" s="629"/>
      <c r="G6" s="629"/>
      <c r="H6" s="629"/>
      <c r="I6" s="629"/>
      <c r="J6" s="629"/>
      <c r="K6" s="629"/>
      <c r="L6" s="629"/>
      <c r="M6" s="120"/>
    </row>
    <row r="7" spans="2:14" ht="15" x14ac:dyDescent="0.4">
      <c r="B7" s="153"/>
      <c r="C7" s="122"/>
      <c r="D7" s="122"/>
      <c r="E7" s="122"/>
      <c r="F7" s="122"/>
      <c r="G7" s="122"/>
      <c r="H7" s="122"/>
      <c r="I7" s="123"/>
      <c r="J7" s="123"/>
      <c r="K7" s="123"/>
      <c r="L7" s="123"/>
      <c r="M7" s="120"/>
    </row>
    <row r="8" spans="2:14" ht="15" x14ac:dyDescent="0.4">
      <c r="B8" s="153"/>
      <c r="C8" s="124"/>
      <c r="D8" s="124"/>
      <c r="E8" s="124"/>
      <c r="F8" s="124"/>
      <c r="G8" s="124"/>
      <c r="H8" s="124"/>
      <c r="I8" s="123"/>
      <c r="J8" s="123"/>
      <c r="K8" s="123"/>
      <c r="L8" s="123"/>
      <c r="M8" s="120"/>
    </row>
    <row r="9" spans="2:14" ht="15.75" customHeight="1" x14ac:dyDescent="0.4">
      <c r="B9" s="153"/>
      <c r="C9" s="123"/>
      <c r="D9" s="627" t="s">
        <v>391</v>
      </c>
      <c r="E9" s="627"/>
      <c r="F9" s="627"/>
      <c r="G9" s="627"/>
      <c r="H9" s="627"/>
      <c r="I9" s="627"/>
      <c r="J9" s="627"/>
      <c r="K9" s="627"/>
      <c r="L9" s="627"/>
      <c r="M9" s="120"/>
    </row>
    <row r="10" spans="2:14" ht="15" x14ac:dyDescent="0.4">
      <c r="B10" s="153"/>
      <c r="C10" s="132" t="s">
        <v>56</v>
      </c>
      <c r="D10" s="268" t="s">
        <v>387</v>
      </c>
      <c r="E10" s="123"/>
      <c r="F10" s="268" t="s">
        <v>388</v>
      </c>
      <c r="G10" s="123"/>
      <c r="H10" s="268" t="s">
        <v>389</v>
      </c>
      <c r="I10" s="123"/>
      <c r="J10" s="268" t="s">
        <v>390</v>
      </c>
      <c r="K10" s="123"/>
      <c r="L10" s="268" t="s">
        <v>32</v>
      </c>
      <c r="M10" s="120"/>
    </row>
    <row r="11" spans="2:14" ht="15" x14ac:dyDescent="0.4">
      <c r="B11" s="153"/>
      <c r="C11" s="125">
        <v>2024</v>
      </c>
      <c r="D11" s="126">
        <f>'Amort Sch''s'!E17</f>
        <v>221250</v>
      </c>
      <c r="E11" s="126"/>
      <c r="F11" s="126">
        <f>'Amort Sch''s'!H15</f>
        <v>18682</v>
      </c>
      <c r="G11" s="126"/>
      <c r="H11" s="126">
        <f>'Amort Sch''s'!K15</f>
        <v>59070</v>
      </c>
      <c r="I11" s="123"/>
      <c r="J11" s="123">
        <f>'Amort Sch''s'!O15</f>
        <v>70137.22</v>
      </c>
      <c r="K11" s="123"/>
      <c r="L11" s="123">
        <f>SUM(D11,F11,H11,J11)</f>
        <v>369139.22</v>
      </c>
      <c r="M11" s="120"/>
    </row>
    <row r="12" spans="2:14" ht="15" x14ac:dyDescent="0.4">
      <c r="B12" s="153"/>
      <c r="C12" s="125">
        <v>2025</v>
      </c>
      <c r="D12" s="127">
        <f>'Amort Sch''s'!E18</f>
        <v>219750</v>
      </c>
      <c r="E12" s="127"/>
      <c r="F12" s="127">
        <f>'Amort Sch''s'!H16</f>
        <v>18682</v>
      </c>
      <c r="G12" s="126"/>
      <c r="H12" s="127">
        <f>'Amort Sch''s'!K16</f>
        <v>59070</v>
      </c>
      <c r="I12" s="123"/>
      <c r="J12" s="127">
        <f>'Amort Sch''s'!O16</f>
        <v>72930</v>
      </c>
      <c r="K12" s="123"/>
      <c r="L12" s="127">
        <f t="shared" ref="L12:L15" si="0">SUM(D12,F12,H12,J12)</f>
        <v>370432</v>
      </c>
      <c r="M12" s="120"/>
    </row>
    <row r="13" spans="2:14" ht="15" x14ac:dyDescent="0.4">
      <c r="B13" s="153"/>
      <c r="C13" s="125">
        <v>2026</v>
      </c>
      <c r="D13" s="127">
        <f>'Amort Sch''s'!E19</f>
        <v>218050</v>
      </c>
      <c r="E13" s="127"/>
      <c r="F13" s="127">
        <f>'Amort Sch''s'!H17</f>
        <v>18682</v>
      </c>
      <c r="G13" s="126"/>
      <c r="H13" s="127">
        <f>'Amort Sch''s'!K17</f>
        <v>59070</v>
      </c>
      <c r="I13" s="123"/>
      <c r="J13" s="127">
        <f>'Amort Sch''s'!O17</f>
        <v>76330</v>
      </c>
      <c r="K13" s="123"/>
      <c r="L13" s="127">
        <f t="shared" si="0"/>
        <v>372132</v>
      </c>
      <c r="M13" s="120"/>
    </row>
    <row r="14" spans="2:14" ht="15" x14ac:dyDescent="0.4">
      <c r="B14" s="153"/>
      <c r="C14" s="125">
        <v>2027</v>
      </c>
      <c r="D14" s="127">
        <f>'Amort Sch''s'!E20</f>
        <v>216150</v>
      </c>
      <c r="E14" s="127"/>
      <c r="F14" s="127">
        <f>'Amort Sch''s'!H18</f>
        <v>18682</v>
      </c>
      <c r="G14" s="126"/>
      <c r="H14" s="127">
        <f>'Amort Sch''s'!K18</f>
        <v>59070</v>
      </c>
      <c r="I14" s="123"/>
      <c r="J14" s="127">
        <f>'Amort Sch''s'!O18</f>
        <v>74570</v>
      </c>
      <c r="K14" s="123"/>
      <c r="L14" s="127">
        <f t="shared" si="0"/>
        <v>368472</v>
      </c>
      <c r="M14" s="120"/>
    </row>
    <row r="15" spans="2:14" ht="15" x14ac:dyDescent="0.4">
      <c r="B15" s="153"/>
      <c r="C15" s="125">
        <v>2028</v>
      </c>
      <c r="D15" s="133">
        <f>'Amort Sch''s'!E21</f>
        <v>209150</v>
      </c>
      <c r="E15" s="127"/>
      <c r="F15" s="133">
        <f>'Amort Sch''s'!H19</f>
        <v>18682</v>
      </c>
      <c r="G15" s="126"/>
      <c r="H15" s="133">
        <f>'Amort Sch''s'!K19</f>
        <v>59070</v>
      </c>
      <c r="I15" s="123"/>
      <c r="J15" s="133">
        <f>'Amort Sch''s'!O19</f>
        <v>74810</v>
      </c>
      <c r="K15" s="123"/>
      <c r="L15" s="133">
        <f t="shared" si="0"/>
        <v>361712</v>
      </c>
      <c r="M15" s="120"/>
    </row>
    <row r="16" spans="2:14" ht="15" x14ac:dyDescent="0.4">
      <c r="B16" s="153"/>
      <c r="C16" s="127"/>
      <c r="D16" s="127"/>
      <c r="E16" s="127"/>
      <c r="F16" s="127"/>
      <c r="G16" s="127"/>
      <c r="H16" s="123"/>
      <c r="I16" s="123"/>
      <c r="J16" s="123"/>
      <c r="K16" s="123"/>
      <c r="L16" s="123"/>
      <c r="M16" s="120"/>
    </row>
    <row r="17" spans="2:13" ht="15.4" thickBot="1" x14ac:dyDescent="0.45">
      <c r="B17" s="153"/>
      <c r="C17" s="129" t="s">
        <v>0</v>
      </c>
      <c r="D17" s="255">
        <f>SUM(D11:D16)</f>
        <v>1084350</v>
      </c>
      <c r="E17" s="129"/>
      <c r="F17" s="255">
        <f>SUM(F11:F16)</f>
        <v>93410</v>
      </c>
      <c r="G17" s="129"/>
      <c r="H17" s="255">
        <f>SUM(H11:H16)</f>
        <v>295350</v>
      </c>
      <c r="I17" s="123"/>
      <c r="J17" s="256">
        <f>SUM(J11:J16)</f>
        <v>368777.22</v>
      </c>
      <c r="K17" s="123"/>
      <c r="L17" s="256">
        <f t="shared" ref="L17" si="1">SUM(L11:L16)</f>
        <v>1841887.22</v>
      </c>
      <c r="M17" s="120"/>
    </row>
    <row r="18" spans="2:13" ht="15.4" thickTop="1" x14ac:dyDescent="0.4">
      <c r="B18" s="153"/>
      <c r="C18" s="128"/>
      <c r="D18" s="128"/>
      <c r="E18" s="128"/>
      <c r="F18" s="128"/>
      <c r="G18" s="128"/>
      <c r="H18" s="128"/>
      <c r="I18" s="123"/>
      <c r="J18" s="123"/>
      <c r="K18" s="123"/>
      <c r="L18" s="123"/>
      <c r="M18" s="120"/>
    </row>
    <row r="19" spans="2:13" ht="15.4" thickBot="1" x14ac:dyDescent="0.45">
      <c r="B19" s="153"/>
      <c r="C19" s="124" t="s">
        <v>180</v>
      </c>
      <c r="D19" s="256">
        <f>ROUND(AVERAGE(D11:D15),0)</f>
        <v>216870</v>
      </c>
      <c r="E19" s="128"/>
      <c r="F19" s="256">
        <f>ROUND(AVERAGE(F11:F15),0)</f>
        <v>18682</v>
      </c>
      <c r="G19" s="128"/>
      <c r="H19" s="256">
        <f>ROUND(AVERAGE(H11:H15),0)</f>
        <v>59070</v>
      </c>
      <c r="I19" s="123"/>
      <c r="J19" s="256">
        <f>ROUND(AVERAGE(J11:J15),0)</f>
        <v>73755</v>
      </c>
      <c r="K19" s="123"/>
      <c r="L19" s="256">
        <f t="shared" ref="L19" si="2">ROUND(AVERAGE(L11:L15),0)</f>
        <v>368377</v>
      </c>
      <c r="M19" s="120"/>
    </row>
    <row r="20" spans="2:13" ht="15.4" thickTop="1" x14ac:dyDescent="0.4">
      <c r="B20" s="154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55"/>
    </row>
    <row r="21" spans="2:13" ht="15" x14ac:dyDescent="0.4">
      <c r="B21" s="116"/>
      <c r="C21" s="123"/>
      <c r="D21" s="123"/>
      <c r="E21" s="123"/>
      <c r="F21" s="123"/>
      <c r="G21" s="123"/>
      <c r="H21" s="123"/>
      <c r="I21" s="123"/>
      <c r="K21" s="123"/>
    </row>
    <row r="22" spans="2:13" ht="15" x14ac:dyDescent="0.4">
      <c r="B22" s="116"/>
      <c r="C22" s="123"/>
      <c r="D22" s="123"/>
      <c r="E22" s="123"/>
      <c r="F22" s="123"/>
      <c r="G22" s="123"/>
      <c r="H22" s="123"/>
      <c r="I22" s="123"/>
      <c r="K22" s="123"/>
    </row>
    <row r="23" spans="2:13" ht="15" x14ac:dyDescent="0.4">
      <c r="B23" s="116"/>
      <c r="C23" s="129"/>
      <c r="D23" s="129"/>
      <c r="E23" s="129"/>
      <c r="F23" s="129"/>
      <c r="G23" s="129"/>
      <c r="H23" s="129"/>
      <c r="I23" s="123"/>
      <c r="K23" s="123"/>
    </row>
    <row r="24" spans="2:13" ht="15" x14ac:dyDescent="0.4">
      <c r="B24" s="116"/>
      <c r="C24" s="130"/>
      <c r="D24" s="130"/>
      <c r="E24" s="130"/>
      <c r="F24" s="130"/>
      <c r="G24" s="130"/>
      <c r="H24" s="130"/>
    </row>
  </sheetData>
  <mergeCells count="5">
    <mergeCell ref="C3:L3"/>
    <mergeCell ref="C4:L4"/>
    <mergeCell ref="C5:L5"/>
    <mergeCell ref="C6:L6"/>
    <mergeCell ref="D9:L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23DF-8BB1-4B27-83EA-6EB358F070DF}">
  <dimension ref="B2:Z64"/>
  <sheetViews>
    <sheetView showGridLines="0" topLeftCell="A46" workbookViewId="0">
      <selection activeCell="S9" sqref="S9"/>
    </sheetView>
  </sheetViews>
  <sheetFormatPr defaultColWidth="15.77734375" defaultRowHeight="15" x14ac:dyDescent="0.4"/>
  <cols>
    <col min="1" max="1" width="4.77734375" style="116" customWidth="1"/>
    <col min="2" max="2" width="1.77734375" style="116" customWidth="1"/>
    <col min="3" max="3" width="8.77734375" style="116" customWidth="1"/>
    <col min="4" max="4" width="8.33203125" style="116" customWidth="1"/>
    <col min="5" max="5" width="7.88671875" style="116" customWidth="1"/>
    <col min="6" max="6" width="8.77734375" style="399" customWidth="1"/>
    <col min="7" max="7" width="10.77734375" style="116" customWidth="1"/>
    <col min="8" max="8" width="1.77734375" style="116" customWidth="1"/>
    <col min="9" max="9" width="8.77734375" style="116" customWidth="1"/>
    <col min="10" max="10" width="10.77734375" style="116" customWidth="1"/>
    <col min="11" max="11" width="1.77734375" style="116" customWidth="1"/>
    <col min="12" max="12" width="8.77734375" style="116" customWidth="1"/>
    <col min="13" max="13" width="1.77734375" style="116" customWidth="1"/>
    <col min="14" max="14" width="8.77734375" style="116" customWidth="1"/>
    <col min="15" max="15" width="1.77734375" style="116" customWidth="1"/>
    <col min="16" max="16" width="8.77734375" style="399" customWidth="1"/>
    <col min="17" max="17" width="10.77734375" style="399" customWidth="1"/>
    <col min="18" max="18" width="1.77734375" style="399" customWidth="1"/>
    <col min="19" max="19" width="8.77734375" style="399" customWidth="1"/>
    <col min="20" max="20" width="1.77734375" style="399" customWidth="1"/>
    <col min="21" max="21" width="8.77734375" style="116" customWidth="1"/>
    <col min="22" max="22" width="1.77734375" style="116" customWidth="1"/>
    <col min="23" max="23" width="9.88671875" style="116" customWidth="1"/>
    <col min="24" max="24" width="2.109375" style="116" customWidth="1"/>
    <col min="25" max="25" width="8.77734375" style="561" customWidth="1"/>
    <col min="26" max="26" width="1.77734375" style="116" customWidth="1"/>
    <col min="27" max="16384" width="15.77734375" style="116"/>
  </cols>
  <sheetData>
    <row r="2" spans="2:26" ht="22.15" x14ac:dyDescent="0.55000000000000004">
      <c r="B2" s="152"/>
      <c r="C2" s="670" t="s">
        <v>99</v>
      </c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401"/>
    </row>
    <row r="3" spans="2:26" ht="22.15" x14ac:dyDescent="0.55000000000000004">
      <c r="B3" s="153"/>
      <c r="C3" s="671" t="s">
        <v>238</v>
      </c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402"/>
    </row>
    <row r="4" spans="2:26" ht="22.15" x14ac:dyDescent="0.55000000000000004">
      <c r="B4" s="153"/>
      <c r="C4" s="671" t="str">
        <f>Adj!B1</f>
        <v>Butler County Water System, Inc.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402"/>
    </row>
    <row r="5" spans="2:26" x14ac:dyDescent="0.4">
      <c r="B5" s="154"/>
      <c r="C5" s="310"/>
      <c r="D5" s="310"/>
      <c r="E5" s="310"/>
      <c r="F5" s="543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557"/>
      <c r="Z5" s="408"/>
    </row>
    <row r="6" spans="2:26" x14ac:dyDescent="0.4">
      <c r="B6" s="152"/>
      <c r="C6" s="309"/>
      <c r="D6" s="309"/>
      <c r="E6" s="401"/>
      <c r="F6" s="404"/>
      <c r="G6" s="401"/>
      <c r="H6" s="152"/>
      <c r="I6" s="674" t="s">
        <v>703</v>
      </c>
      <c r="J6" s="674"/>
      <c r="K6" s="674"/>
      <c r="L6" s="674"/>
      <c r="M6" s="674"/>
      <c r="N6" s="675"/>
      <c r="O6" s="562"/>
      <c r="P6" s="674" t="s">
        <v>704</v>
      </c>
      <c r="Q6" s="674"/>
      <c r="R6" s="674"/>
      <c r="S6" s="674"/>
      <c r="T6" s="674"/>
      <c r="U6" s="675"/>
      <c r="V6" s="566"/>
      <c r="W6" s="677"/>
      <c r="X6" s="677"/>
      <c r="Y6" s="677"/>
      <c r="Z6" s="401"/>
    </row>
    <row r="7" spans="2:26" x14ac:dyDescent="0.4">
      <c r="B7" s="153"/>
      <c r="E7" s="402"/>
      <c r="F7" s="404"/>
      <c r="G7" s="402"/>
      <c r="H7" s="153"/>
      <c r="I7" s="558"/>
      <c r="J7" s="558"/>
      <c r="K7" s="558"/>
      <c r="L7" s="672" t="s">
        <v>695</v>
      </c>
      <c r="M7" s="672"/>
      <c r="N7" s="673"/>
      <c r="O7" s="558"/>
      <c r="P7" s="558"/>
      <c r="Q7" s="558"/>
      <c r="R7" s="558"/>
      <c r="S7" s="672" t="s">
        <v>694</v>
      </c>
      <c r="T7" s="672"/>
      <c r="U7" s="673"/>
      <c r="V7" s="153"/>
      <c r="W7" s="672" t="s">
        <v>705</v>
      </c>
      <c r="X7" s="672"/>
      <c r="Y7" s="672"/>
      <c r="Z7" s="402"/>
    </row>
    <row r="8" spans="2:26" x14ac:dyDescent="0.4">
      <c r="B8" s="153"/>
      <c r="C8" s="672" t="s">
        <v>687</v>
      </c>
      <c r="D8" s="672"/>
      <c r="E8" s="673"/>
      <c r="F8" s="678" t="s">
        <v>688</v>
      </c>
      <c r="G8" s="673"/>
      <c r="H8" s="153"/>
      <c r="I8" s="676" t="s">
        <v>692</v>
      </c>
      <c r="J8" s="676"/>
      <c r="K8" s="542"/>
      <c r="L8" s="559" t="s">
        <v>690</v>
      </c>
      <c r="M8" s="564"/>
      <c r="N8" s="565" t="s">
        <v>691</v>
      </c>
      <c r="O8" s="558"/>
      <c r="P8" s="676" t="s">
        <v>693</v>
      </c>
      <c r="Q8" s="676"/>
      <c r="R8" s="542"/>
      <c r="S8" s="559" t="s">
        <v>690</v>
      </c>
      <c r="T8" s="564"/>
      <c r="U8" s="565" t="s">
        <v>691</v>
      </c>
      <c r="V8" s="153"/>
      <c r="W8" s="559" t="s">
        <v>690</v>
      </c>
      <c r="X8" s="564"/>
      <c r="Y8" s="565" t="s">
        <v>691</v>
      </c>
      <c r="Z8" s="402"/>
    </row>
    <row r="9" spans="2:26" x14ac:dyDescent="0.4">
      <c r="B9" s="153"/>
      <c r="C9" s="116" t="s">
        <v>51</v>
      </c>
      <c r="D9" s="142">
        <v>2000</v>
      </c>
      <c r="E9" s="402" t="s">
        <v>188</v>
      </c>
      <c r="F9" s="404">
        <v>20.38</v>
      </c>
      <c r="G9" s="402" t="s">
        <v>241</v>
      </c>
      <c r="H9" s="153"/>
      <c r="I9" s="404">
        <f>'Yr 1 Rate Comp'!L11</f>
        <v>23.83</v>
      </c>
      <c r="J9" s="116" t="s">
        <v>241</v>
      </c>
      <c r="L9" s="404">
        <f>I9-F9</f>
        <v>3.4499999999999993</v>
      </c>
      <c r="N9" s="563">
        <f>ROUND(L9/F9,3)</f>
        <v>0.16900000000000001</v>
      </c>
      <c r="O9" s="558"/>
      <c r="P9" s="404">
        <f>'Rates Comp'!L11</f>
        <v>27.33</v>
      </c>
      <c r="Q9" s="116" t="s">
        <v>241</v>
      </c>
      <c r="R9" s="116"/>
      <c r="S9" s="404">
        <f>P9-I9</f>
        <v>3.5</v>
      </c>
      <c r="T9" s="116"/>
      <c r="U9" s="563">
        <f>ROUND(S9/I9,3)</f>
        <v>0.14699999999999999</v>
      </c>
      <c r="V9" s="153"/>
      <c r="W9" s="404">
        <f>P9-F9</f>
        <v>6.9499999999999993</v>
      </c>
      <c r="Y9" s="560">
        <f>ROUND(W9/F9,2)</f>
        <v>0.34</v>
      </c>
      <c r="Z9" s="402"/>
    </row>
    <row r="10" spans="2:26" x14ac:dyDescent="0.4">
      <c r="B10" s="153"/>
      <c r="C10" s="116" t="s">
        <v>52</v>
      </c>
      <c r="D10" s="142">
        <v>4000</v>
      </c>
      <c r="E10" s="402" t="s">
        <v>188</v>
      </c>
      <c r="F10" s="405">
        <v>5.8999999999999999E-3</v>
      </c>
      <c r="G10" s="402" t="s">
        <v>240</v>
      </c>
      <c r="H10" s="153"/>
      <c r="I10" s="405">
        <f>'Yr 1 Rate Comp'!L12</f>
        <v>6.8900000000000003E-3</v>
      </c>
      <c r="J10" s="116" t="s">
        <v>240</v>
      </c>
      <c r="L10" s="405">
        <f>I10-F10</f>
        <v>9.9000000000000043E-4</v>
      </c>
      <c r="N10" s="563">
        <f>ROUND(L10/F10,3)</f>
        <v>0.16800000000000001</v>
      </c>
      <c r="O10" s="558"/>
      <c r="P10" s="405">
        <f>'Rates Comp'!L12</f>
        <v>7.9100000000000004E-3</v>
      </c>
      <c r="Q10" s="116" t="s">
        <v>240</v>
      </c>
      <c r="R10" s="116"/>
      <c r="S10" s="405">
        <f>P10-I10</f>
        <v>1.0200000000000001E-3</v>
      </c>
      <c r="T10" s="116"/>
      <c r="U10" s="563">
        <f t="shared" ref="U10:U20" si="0">ROUND(S10/I10,3)</f>
        <v>0.14799999999999999</v>
      </c>
      <c r="V10" s="153"/>
      <c r="W10" s="405">
        <f>P10-F10</f>
        <v>2.0100000000000005E-3</v>
      </c>
      <c r="Y10" s="560">
        <f>ROUND(W10/F10,2)</f>
        <v>0.34</v>
      </c>
      <c r="Z10" s="402"/>
    </row>
    <row r="11" spans="2:26" x14ac:dyDescent="0.4">
      <c r="B11" s="153"/>
      <c r="C11" s="116" t="s">
        <v>52</v>
      </c>
      <c r="D11" s="142">
        <v>44000</v>
      </c>
      <c r="E11" s="402" t="s">
        <v>188</v>
      </c>
      <c r="F11" s="405">
        <v>5.2399999999999999E-3</v>
      </c>
      <c r="G11" s="402" t="s">
        <v>240</v>
      </c>
      <c r="H11" s="153"/>
      <c r="I11" s="405">
        <f>'Yr 1 Rate Comp'!L13</f>
        <v>6.1200000000000004E-3</v>
      </c>
      <c r="J11" s="116" t="s">
        <v>240</v>
      </c>
      <c r="L11" s="405">
        <f t="shared" ref="L11:L13" si="1">I11-F11</f>
        <v>8.8000000000000057E-4</v>
      </c>
      <c r="N11" s="563">
        <f t="shared" ref="N11:N13" si="2">ROUND(L11/F11,3)</f>
        <v>0.16800000000000001</v>
      </c>
      <c r="O11" s="560"/>
      <c r="P11" s="405">
        <f>'Rates Comp'!L13</f>
        <v>7.0200000000000002E-3</v>
      </c>
      <c r="Q11" s="116" t="s">
        <v>240</v>
      </c>
      <c r="R11" s="116"/>
      <c r="S11" s="405">
        <f t="shared" ref="S11:S13" si="3">P11-I11</f>
        <v>8.9999999999999976E-4</v>
      </c>
      <c r="T11" s="116"/>
      <c r="U11" s="563">
        <f t="shared" si="0"/>
        <v>0.14699999999999999</v>
      </c>
      <c r="V11" s="153"/>
      <c r="W11" s="405">
        <f>P11-F11</f>
        <v>1.7800000000000003E-3</v>
      </c>
      <c r="Y11" s="560">
        <f>ROUND(W11/F11,2)</f>
        <v>0.34</v>
      </c>
      <c r="Z11" s="402"/>
    </row>
    <row r="12" spans="2:26" x14ac:dyDescent="0.4">
      <c r="B12" s="153"/>
      <c r="C12" s="116" t="s">
        <v>52</v>
      </c>
      <c r="D12" s="142">
        <v>50000</v>
      </c>
      <c r="E12" s="402" t="s">
        <v>188</v>
      </c>
      <c r="F12" s="405">
        <v>4.5100000000000001E-3</v>
      </c>
      <c r="G12" s="402" t="s">
        <v>240</v>
      </c>
      <c r="H12" s="153"/>
      <c r="I12" s="405">
        <f>'Yr 1 Rate Comp'!L14</f>
        <v>5.2700000000000004E-3</v>
      </c>
      <c r="J12" s="116" t="s">
        <v>240</v>
      </c>
      <c r="L12" s="405">
        <f t="shared" si="1"/>
        <v>7.6000000000000026E-4</v>
      </c>
      <c r="N12" s="563">
        <f t="shared" si="2"/>
        <v>0.16900000000000001</v>
      </c>
      <c r="O12" s="560"/>
      <c r="P12" s="405">
        <f>'Rates Comp'!L14</f>
        <v>6.0400000000000002E-3</v>
      </c>
      <c r="Q12" s="116" t="s">
        <v>240</v>
      </c>
      <c r="R12" s="116"/>
      <c r="S12" s="405">
        <f t="shared" si="3"/>
        <v>7.6999999999999985E-4</v>
      </c>
      <c r="T12" s="116"/>
      <c r="U12" s="563">
        <f t="shared" si="0"/>
        <v>0.14599999999999999</v>
      </c>
      <c r="V12" s="153"/>
      <c r="W12" s="405">
        <f>P12-F12</f>
        <v>1.5300000000000001E-3</v>
      </c>
      <c r="Y12" s="560">
        <f>ROUND(W12/F12,2)</f>
        <v>0.34</v>
      </c>
      <c r="Z12" s="402"/>
    </row>
    <row r="13" spans="2:26" x14ac:dyDescent="0.4">
      <c r="B13" s="153"/>
      <c r="C13" s="116" t="s">
        <v>114</v>
      </c>
      <c r="D13" s="142">
        <f>SUM(D9:D12)</f>
        <v>100000</v>
      </c>
      <c r="E13" s="402" t="s">
        <v>188</v>
      </c>
      <c r="F13" s="405">
        <v>3.7599999999999999E-3</v>
      </c>
      <c r="G13" s="402" t="s">
        <v>240</v>
      </c>
      <c r="H13" s="153"/>
      <c r="I13" s="405">
        <f>'Yr 1 Rate Comp'!L15</f>
        <v>4.3900000000000007E-3</v>
      </c>
      <c r="J13" s="116" t="s">
        <v>240</v>
      </c>
      <c r="L13" s="405">
        <f t="shared" si="1"/>
        <v>6.3000000000000079E-4</v>
      </c>
      <c r="N13" s="563">
        <f t="shared" si="2"/>
        <v>0.16800000000000001</v>
      </c>
      <c r="O13" s="560"/>
      <c r="P13" s="405">
        <f>'Rates Comp'!L15</f>
        <v>5.0300000000000006E-3</v>
      </c>
      <c r="Q13" s="116" t="s">
        <v>240</v>
      </c>
      <c r="R13" s="116"/>
      <c r="S13" s="405">
        <f t="shared" si="3"/>
        <v>6.3999999999999994E-4</v>
      </c>
      <c r="T13" s="116"/>
      <c r="U13" s="563">
        <f t="shared" si="0"/>
        <v>0.14599999999999999</v>
      </c>
      <c r="V13" s="153"/>
      <c r="W13" s="405">
        <f>P13-F13</f>
        <v>1.2700000000000007E-3</v>
      </c>
      <c r="Y13" s="560">
        <f>ROUND(W13/F13,2)</f>
        <v>0.34</v>
      </c>
      <c r="Z13" s="402"/>
    </row>
    <row r="14" spans="2:26" x14ac:dyDescent="0.4">
      <c r="B14" s="153"/>
      <c r="D14" s="142"/>
      <c r="E14" s="402"/>
      <c r="F14" s="405"/>
      <c r="G14" s="402"/>
      <c r="H14" s="153"/>
      <c r="I14" s="405"/>
      <c r="N14" s="402"/>
      <c r="P14" s="405"/>
      <c r="Q14" s="116"/>
      <c r="R14" s="116"/>
      <c r="S14" s="116"/>
      <c r="T14" s="116"/>
      <c r="U14" s="563"/>
      <c r="V14" s="153"/>
      <c r="Y14" s="560"/>
      <c r="Z14" s="402"/>
    </row>
    <row r="15" spans="2:26" x14ac:dyDescent="0.4">
      <c r="B15" s="153"/>
      <c r="C15" s="116" t="s">
        <v>334</v>
      </c>
      <c r="D15" s="142"/>
      <c r="E15" s="402"/>
      <c r="F15" s="116"/>
      <c r="G15" s="402"/>
      <c r="H15" s="153"/>
      <c r="I15" s="405"/>
      <c r="N15" s="402"/>
      <c r="P15" s="116"/>
      <c r="Q15" s="116"/>
      <c r="R15" s="116"/>
      <c r="S15" s="116"/>
      <c r="T15" s="116"/>
      <c r="V15" s="153"/>
      <c r="Y15" s="560"/>
      <c r="Z15" s="402"/>
    </row>
    <row r="16" spans="2:26" x14ac:dyDescent="0.4">
      <c r="B16" s="153"/>
      <c r="C16" s="116" t="s">
        <v>51</v>
      </c>
      <c r="D16" s="142">
        <v>5000</v>
      </c>
      <c r="E16" s="402" t="s">
        <v>188</v>
      </c>
      <c r="F16" s="404">
        <v>38.68</v>
      </c>
      <c r="G16" s="402" t="s">
        <v>241</v>
      </c>
      <c r="H16" s="153"/>
      <c r="I16" s="404">
        <f>'Yr 1 Rate Comp'!L18</f>
        <v>45.25</v>
      </c>
      <c r="J16" s="116" t="s">
        <v>241</v>
      </c>
      <c r="L16" s="404">
        <f>I16-F16</f>
        <v>6.57</v>
      </c>
      <c r="N16" s="563">
        <f>ROUND(L16/F16,3)</f>
        <v>0.17</v>
      </c>
      <c r="O16" s="560"/>
      <c r="P16" s="404">
        <f>'Rates Comp'!L18</f>
        <v>51.89</v>
      </c>
      <c r="Q16" s="116" t="s">
        <v>241</v>
      </c>
      <c r="R16" s="116"/>
      <c r="S16" s="404">
        <f>P16-I16</f>
        <v>6.6400000000000006</v>
      </c>
      <c r="T16" s="116"/>
      <c r="U16" s="563">
        <f t="shared" si="0"/>
        <v>0.14699999999999999</v>
      </c>
      <c r="V16" s="153"/>
      <c r="W16" s="404">
        <f>P16-F16</f>
        <v>13.21</v>
      </c>
      <c r="Y16" s="560">
        <f>ROUND(W16/F16,2)</f>
        <v>0.34</v>
      </c>
      <c r="Z16" s="402"/>
    </row>
    <row r="17" spans="2:26" x14ac:dyDescent="0.4">
      <c r="B17" s="153"/>
      <c r="C17" s="116" t="s">
        <v>52</v>
      </c>
      <c r="D17" s="142">
        <v>1000</v>
      </c>
      <c r="E17" s="402" t="s">
        <v>188</v>
      </c>
      <c r="F17" s="405">
        <f>F10</f>
        <v>5.8999999999999999E-3</v>
      </c>
      <c r="G17" s="402" t="s">
        <v>240</v>
      </c>
      <c r="H17" s="153"/>
      <c r="I17" s="405">
        <f>I10</f>
        <v>6.8900000000000003E-3</v>
      </c>
      <c r="J17" s="116" t="s">
        <v>240</v>
      </c>
      <c r="L17" s="405">
        <f t="shared" ref="L17:L20" si="4">I17-F17</f>
        <v>9.9000000000000043E-4</v>
      </c>
      <c r="N17" s="563">
        <f t="shared" ref="N17:N20" si="5">ROUND(L17/F17,3)</f>
        <v>0.16800000000000001</v>
      </c>
      <c r="O17" s="560"/>
      <c r="P17" s="405">
        <f>P10</f>
        <v>7.9100000000000004E-3</v>
      </c>
      <c r="Q17" s="116" t="s">
        <v>240</v>
      </c>
      <c r="R17" s="116"/>
      <c r="S17" s="405">
        <f>P17-I17</f>
        <v>1.0200000000000001E-3</v>
      </c>
      <c r="T17" s="116"/>
      <c r="U17" s="563">
        <f t="shared" si="0"/>
        <v>0.14799999999999999</v>
      </c>
      <c r="V17" s="153"/>
      <c r="W17" s="405">
        <f>P17-F17</f>
        <v>2.0100000000000005E-3</v>
      </c>
      <c r="Y17" s="560">
        <f>ROUND(W17/F17,2)</f>
        <v>0.34</v>
      </c>
      <c r="Z17" s="402"/>
    </row>
    <row r="18" spans="2:26" x14ac:dyDescent="0.4">
      <c r="B18" s="153"/>
      <c r="C18" s="116" t="s">
        <v>52</v>
      </c>
      <c r="D18" s="142">
        <v>44000</v>
      </c>
      <c r="E18" s="402" t="s">
        <v>188</v>
      </c>
      <c r="F18" s="405">
        <f t="shared" ref="F18:F20" si="6">F11</f>
        <v>5.2399999999999999E-3</v>
      </c>
      <c r="G18" s="402" t="s">
        <v>240</v>
      </c>
      <c r="H18" s="153"/>
      <c r="I18" s="405">
        <f t="shared" ref="I18:I20" si="7">I11</f>
        <v>6.1200000000000004E-3</v>
      </c>
      <c r="J18" s="116" t="s">
        <v>240</v>
      </c>
      <c r="L18" s="405">
        <f t="shared" si="4"/>
        <v>8.8000000000000057E-4</v>
      </c>
      <c r="N18" s="563">
        <f t="shared" si="5"/>
        <v>0.16800000000000001</v>
      </c>
      <c r="O18" s="560"/>
      <c r="P18" s="405">
        <f t="shared" ref="P18:P20" si="8">P11</f>
        <v>7.0200000000000002E-3</v>
      </c>
      <c r="Q18" s="116" t="s">
        <v>240</v>
      </c>
      <c r="R18" s="116"/>
      <c r="S18" s="405">
        <f t="shared" ref="S18:S20" si="9">P18-I18</f>
        <v>8.9999999999999976E-4</v>
      </c>
      <c r="T18" s="116"/>
      <c r="U18" s="563">
        <f t="shared" si="0"/>
        <v>0.14699999999999999</v>
      </c>
      <c r="V18" s="153"/>
      <c r="W18" s="405">
        <f>P18-F18</f>
        <v>1.7800000000000003E-3</v>
      </c>
      <c r="Y18" s="560">
        <f>ROUND(W18/F18,2)</f>
        <v>0.34</v>
      </c>
      <c r="Z18" s="402"/>
    </row>
    <row r="19" spans="2:26" x14ac:dyDescent="0.4">
      <c r="B19" s="153"/>
      <c r="C19" s="116" t="s">
        <v>52</v>
      </c>
      <c r="D19" s="142">
        <v>50000</v>
      </c>
      <c r="E19" s="402" t="s">
        <v>188</v>
      </c>
      <c r="F19" s="405">
        <f t="shared" si="6"/>
        <v>4.5100000000000001E-3</v>
      </c>
      <c r="G19" s="402" t="s">
        <v>240</v>
      </c>
      <c r="H19" s="153"/>
      <c r="I19" s="405">
        <f t="shared" si="7"/>
        <v>5.2700000000000004E-3</v>
      </c>
      <c r="J19" s="116" t="s">
        <v>240</v>
      </c>
      <c r="L19" s="405">
        <f t="shared" si="4"/>
        <v>7.6000000000000026E-4</v>
      </c>
      <c r="N19" s="563">
        <f t="shared" si="5"/>
        <v>0.16900000000000001</v>
      </c>
      <c r="O19" s="560"/>
      <c r="P19" s="405">
        <f t="shared" si="8"/>
        <v>6.0400000000000002E-3</v>
      </c>
      <c r="Q19" s="116" t="s">
        <v>240</v>
      </c>
      <c r="R19" s="116"/>
      <c r="S19" s="405">
        <f t="shared" si="9"/>
        <v>7.6999999999999985E-4</v>
      </c>
      <c r="T19" s="116"/>
      <c r="U19" s="563">
        <f t="shared" si="0"/>
        <v>0.14599999999999999</v>
      </c>
      <c r="V19" s="153"/>
      <c r="W19" s="405">
        <f>P19-F19</f>
        <v>1.5300000000000001E-3</v>
      </c>
      <c r="Y19" s="560">
        <f>ROUND(W19/F19,2)</f>
        <v>0.34</v>
      </c>
      <c r="Z19" s="402"/>
    </row>
    <row r="20" spans="2:26" x14ac:dyDescent="0.4">
      <c r="B20" s="153"/>
      <c r="C20" s="116" t="s">
        <v>114</v>
      </c>
      <c r="D20" s="142">
        <f>SUM(D16:D19)</f>
        <v>100000</v>
      </c>
      <c r="E20" s="402" t="s">
        <v>188</v>
      </c>
      <c r="F20" s="405">
        <f t="shared" si="6"/>
        <v>3.7599999999999999E-3</v>
      </c>
      <c r="G20" s="402" t="s">
        <v>240</v>
      </c>
      <c r="H20" s="153"/>
      <c r="I20" s="405">
        <f t="shared" si="7"/>
        <v>4.3900000000000007E-3</v>
      </c>
      <c r="J20" s="116" t="s">
        <v>240</v>
      </c>
      <c r="L20" s="405">
        <f t="shared" si="4"/>
        <v>6.3000000000000079E-4</v>
      </c>
      <c r="N20" s="563">
        <f t="shared" si="5"/>
        <v>0.16800000000000001</v>
      </c>
      <c r="O20" s="560"/>
      <c r="P20" s="405">
        <f t="shared" si="8"/>
        <v>5.0300000000000006E-3</v>
      </c>
      <c r="Q20" s="116" t="s">
        <v>240</v>
      </c>
      <c r="R20" s="116"/>
      <c r="S20" s="405">
        <f t="shared" si="9"/>
        <v>6.3999999999999994E-4</v>
      </c>
      <c r="T20" s="116"/>
      <c r="U20" s="563">
        <f t="shared" si="0"/>
        <v>0.14599999999999999</v>
      </c>
      <c r="V20" s="153"/>
      <c r="W20" s="405">
        <f>P20-F20</f>
        <v>1.2700000000000007E-3</v>
      </c>
      <c r="Y20" s="560">
        <f>ROUND(W20/F20,2)</f>
        <v>0.34</v>
      </c>
      <c r="Z20" s="402"/>
    </row>
    <row r="21" spans="2:26" x14ac:dyDescent="0.4">
      <c r="B21" s="153"/>
      <c r="D21" s="142"/>
      <c r="E21" s="402"/>
      <c r="F21" s="405"/>
      <c r="G21" s="402"/>
      <c r="H21" s="153"/>
      <c r="I21" s="405"/>
      <c r="N21" s="402"/>
      <c r="P21" s="405"/>
      <c r="Q21" s="116"/>
      <c r="R21" s="116"/>
      <c r="S21" s="116"/>
      <c r="T21" s="116"/>
      <c r="U21" s="402"/>
      <c r="V21" s="153"/>
      <c r="Y21" s="560"/>
      <c r="Z21" s="402"/>
    </row>
    <row r="22" spans="2:26" x14ac:dyDescent="0.4">
      <c r="B22" s="153"/>
      <c r="C22" s="116" t="s">
        <v>335</v>
      </c>
      <c r="D22" s="142"/>
      <c r="E22" s="402"/>
      <c r="F22" s="405"/>
      <c r="G22" s="402"/>
      <c r="H22" s="153"/>
      <c r="I22" s="405"/>
      <c r="N22" s="402"/>
      <c r="P22" s="405"/>
      <c r="Q22" s="116"/>
      <c r="R22" s="116"/>
      <c r="S22" s="116"/>
      <c r="T22" s="116"/>
      <c r="U22" s="402"/>
      <c r="V22" s="153"/>
      <c r="Y22" s="560"/>
      <c r="Z22" s="402"/>
    </row>
    <row r="23" spans="2:26" x14ac:dyDescent="0.4">
      <c r="B23" s="153"/>
      <c r="C23" s="116" t="s">
        <v>51</v>
      </c>
      <c r="D23" s="142">
        <v>10000</v>
      </c>
      <c r="E23" s="402" t="s">
        <v>188</v>
      </c>
      <c r="F23" s="404">
        <v>69.11</v>
      </c>
      <c r="G23" s="402" t="s">
        <v>241</v>
      </c>
      <c r="H23" s="153"/>
      <c r="I23" s="404">
        <f>'Yr 1 Rate Comp'!L25</f>
        <v>80.849999999999994</v>
      </c>
      <c r="J23" s="116" t="s">
        <v>241</v>
      </c>
      <c r="L23" s="404">
        <f>I23-F23</f>
        <v>11.739999999999995</v>
      </c>
      <c r="N23" s="563">
        <f>ROUND(L23/F23,3)</f>
        <v>0.17</v>
      </c>
      <c r="O23" s="560"/>
      <c r="P23" s="404">
        <f>'Rates Comp'!L25</f>
        <v>92.71</v>
      </c>
      <c r="Q23" s="116" t="s">
        <v>241</v>
      </c>
      <c r="R23" s="116"/>
      <c r="S23" s="404">
        <f>P23-I23</f>
        <v>11.86</v>
      </c>
      <c r="T23" s="116"/>
      <c r="U23" s="563">
        <f t="shared" ref="U23:U26" si="10">ROUND(S23/I23,3)</f>
        <v>0.14699999999999999</v>
      </c>
      <c r="V23" s="153"/>
      <c r="W23" s="404">
        <f>P23-F23</f>
        <v>23.599999999999994</v>
      </c>
      <c r="Y23" s="560">
        <f>ROUND(W23/F23,2)</f>
        <v>0.34</v>
      </c>
      <c r="Z23" s="402"/>
    </row>
    <row r="24" spans="2:26" x14ac:dyDescent="0.4">
      <c r="B24" s="153"/>
      <c r="C24" s="116" t="s">
        <v>52</v>
      </c>
      <c r="D24" s="142">
        <v>40000</v>
      </c>
      <c r="E24" s="402" t="s">
        <v>188</v>
      </c>
      <c r="F24" s="405">
        <f>F18</f>
        <v>5.2399999999999999E-3</v>
      </c>
      <c r="G24" s="402" t="s">
        <v>240</v>
      </c>
      <c r="H24" s="153"/>
      <c r="I24" s="405">
        <f>I18</f>
        <v>6.1200000000000004E-3</v>
      </c>
      <c r="J24" s="116" t="s">
        <v>240</v>
      </c>
      <c r="L24" s="405">
        <f t="shared" ref="L24:L26" si="11">I24-F24</f>
        <v>8.8000000000000057E-4</v>
      </c>
      <c r="N24" s="563">
        <f t="shared" ref="N24:N26" si="12">ROUND(L24/F24,3)</f>
        <v>0.16800000000000001</v>
      </c>
      <c r="O24" s="560"/>
      <c r="P24" s="405">
        <f>'Rates Comp'!L26</f>
        <v>7.0200000000000002E-3</v>
      </c>
      <c r="Q24" s="116" t="s">
        <v>240</v>
      </c>
      <c r="R24" s="116"/>
      <c r="S24" s="405">
        <f>P24-I24</f>
        <v>8.9999999999999976E-4</v>
      </c>
      <c r="T24" s="116"/>
      <c r="U24" s="563">
        <f t="shared" si="10"/>
        <v>0.14699999999999999</v>
      </c>
      <c r="V24" s="153"/>
      <c r="W24" s="405">
        <f>P24-F24</f>
        <v>1.7800000000000003E-3</v>
      </c>
      <c r="Y24" s="560">
        <f>ROUND(W24/F24,2)</f>
        <v>0.34</v>
      </c>
      <c r="Z24" s="402"/>
    </row>
    <row r="25" spans="2:26" x14ac:dyDescent="0.4">
      <c r="B25" s="153"/>
      <c r="C25" s="116" t="s">
        <v>52</v>
      </c>
      <c r="D25" s="142">
        <v>50000</v>
      </c>
      <c r="E25" s="402" t="s">
        <v>188</v>
      </c>
      <c r="F25" s="405">
        <f t="shared" ref="F25:F26" si="13">F19</f>
        <v>4.5100000000000001E-3</v>
      </c>
      <c r="G25" s="402" t="s">
        <v>240</v>
      </c>
      <c r="H25" s="153"/>
      <c r="I25" s="405">
        <f t="shared" ref="I25:I26" si="14">I19</f>
        <v>5.2700000000000004E-3</v>
      </c>
      <c r="J25" s="116" t="s">
        <v>240</v>
      </c>
      <c r="L25" s="405">
        <f t="shared" si="11"/>
        <v>7.6000000000000026E-4</v>
      </c>
      <c r="N25" s="563">
        <f t="shared" si="12"/>
        <v>0.16900000000000001</v>
      </c>
      <c r="O25" s="560"/>
      <c r="P25" s="405">
        <f t="shared" ref="P25:P26" si="15">P19</f>
        <v>6.0400000000000002E-3</v>
      </c>
      <c r="Q25" s="116" t="s">
        <v>240</v>
      </c>
      <c r="R25" s="116"/>
      <c r="S25" s="405">
        <f t="shared" ref="S25:S26" si="16">P25-I25</f>
        <v>7.6999999999999985E-4</v>
      </c>
      <c r="T25" s="116"/>
      <c r="U25" s="563">
        <f t="shared" si="10"/>
        <v>0.14599999999999999</v>
      </c>
      <c r="V25" s="153"/>
      <c r="W25" s="405">
        <f>P25-F25</f>
        <v>1.5300000000000001E-3</v>
      </c>
      <c r="Y25" s="560">
        <f>ROUND(W25/F25,2)</f>
        <v>0.34</v>
      </c>
      <c r="Z25" s="402"/>
    </row>
    <row r="26" spans="2:26" x14ac:dyDescent="0.4">
      <c r="B26" s="153"/>
      <c r="C26" s="116" t="s">
        <v>114</v>
      </c>
      <c r="D26" s="142">
        <f>SUM(D22:D25)</f>
        <v>100000</v>
      </c>
      <c r="E26" s="402" t="s">
        <v>188</v>
      </c>
      <c r="F26" s="405">
        <f t="shared" si="13"/>
        <v>3.7599999999999999E-3</v>
      </c>
      <c r="G26" s="402" t="s">
        <v>240</v>
      </c>
      <c r="H26" s="153"/>
      <c r="I26" s="405">
        <f t="shared" si="14"/>
        <v>4.3900000000000007E-3</v>
      </c>
      <c r="J26" s="116" t="s">
        <v>240</v>
      </c>
      <c r="L26" s="405">
        <f t="shared" si="11"/>
        <v>6.3000000000000079E-4</v>
      </c>
      <c r="N26" s="563">
        <f t="shared" si="12"/>
        <v>0.16800000000000001</v>
      </c>
      <c r="O26" s="560"/>
      <c r="P26" s="405">
        <f t="shared" si="15"/>
        <v>5.0300000000000006E-3</v>
      </c>
      <c r="Q26" s="116" t="s">
        <v>240</v>
      </c>
      <c r="R26" s="116"/>
      <c r="S26" s="405">
        <f t="shared" si="16"/>
        <v>6.3999999999999994E-4</v>
      </c>
      <c r="T26" s="116"/>
      <c r="U26" s="563">
        <f t="shared" si="10"/>
        <v>0.14599999999999999</v>
      </c>
      <c r="V26" s="153"/>
      <c r="W26" s="405">
        <f>P26-F26</f>
        <v>1.2700000000000007E-3</v>
      </c>
      <c r="Y26" s="560">
        <f>ROUND(W26/F26,2)</f>
        <v>0.34</v>
      </c>
      <c r="Z26" s="402"/>
    </row>
    <row r="27" spans="2:26" x14ac:dyDescent="0.4">
      <c r="B27" s="153"/>
      <c r="D27" s="142"/>
      <c r="E27" s="402"/>
      <c r="F27" s="405"/>
      <c r="G27" s="402"/>
      <c r="H27" s="153"/>
      <c r="I27" s="405"/>
      <c r="N27" s="402"/>
      <c r="P27" s="405"/>
      <c r="Q27" s="116"/>
      <c r="R27" s="116"/>
      <c r="S27" s="116"/>
      <c r="T27" s="116"/>
      <c r="U27" s="402"/>
      <c r="V27" s="153"/>
      <c r="W27" s="404"/>
      <c r="Y27" s="560"/>
      <c r="Z27" s="402"/>
    </row>
    <row r="28" spans="2:26" x14ac:dyDescent="0.4">
      <c r="B28" s="153"/>
      <c r="C28" s="116" t="s">
        <v>336</v>
      </c>
      <c r="D28" s="142"/>
      <c r="E28" s="402"/>
      <c r="F28" s="116"/>
      <c r="G28" s="402"/>
      <c r="H28" s="153"/>
      <c r="I28" s="405"/>
      <c r="N28" s="402"/>
      <c r="P28" s="116"/>
      <c r="Q28" s="116"/>
      <c r="R28" s="116"/>
      <c r="S28" s="116"/>
      <c r="T28" s="116"/>
      <c r="U28" s="402"/>
      <c r="V28" s="153"/>
      <c r="W28" s="404"/>
      <c r="Y28" s="560"/>
      <c r="Z28" s="402"/>
    </row>
    <row r="29" spans="2:26" x14ac:dyDescent="0.4">
      <c r="B29" s="153"/>
      <c r="C29" s="116" t="s">
        <v>51</v>
      </c>
      <c r="D29" s="142">
        <v>16000</v>
      </c>
      <c r="E29" s="402" t="s">
        <v>188</v>
      </c>
      <c r="F29" s="404">
        <v>101.44</v>
      </c>
      <c r="G29" s="402" t="s">
        <v>241</v>
      </c>
      <c r="H29" s="153"/>
      <c r="I29" s="404">
        <f>'Yr 1 Rate Comp'!L31</f>
        <v>118.66999999999999</v>
      </c>
      <c r="J29" s="116" t="s">
        <v>241</v>
      </c>
      <c r="L29" s="404">
        <f>I29-F29</f>
        <v>17.22999999999999</v>
      </c>
      <c r="N29" s="563">
        <f>ROUND(L29/F29,3)</f>
        <v>0.17</v>
      </c>
      <c r="O29" s="560"/>
      <c r="P29" s="404">
        <f>'Rates Comp'!L31</f>
        <v>136.09</v>
      </c>
      <c r="Q29" s="116" t="s">
        <v>241</v>
      </c>
      <c r="R29" s="116"/>
      <c r="S29" s="404">
        <f>P29-I29</f>
        <v>17.420000000000016</v>
      </c>
      <c r="T29" s="116"/>
      <c r="U29" s="563">
        <f t="shared" ref="U29:U32" si="17">ROUND(S29/I29,3)</f>
        <v>0.14699999999999999</v>
      </c>
      <c r="V29" s="153"/>
      <c r="W29" s="404">
        <f>P29-F29</f>
        <v>34.650000000000006</v>
      </c>
      <c r="Y29" s="560">
        <f>ROUND(W29/F29,2)</f>
        <v>0.34</v>
      </c>
      <c r="Z29" s="402"/>
    </row>
    <row r="30" spans="2:26" x14ac:dyDescent="0.4">
      <c r="B30" s="153"/>
      <c r="C30" s="116" t="s">
        <v>52</v>
      </c>
      <c r="D30" s="142">
        <v>34000</v>
      </c>
      <c r="E30" s="402" t="s">
        <v>188</v>
      </c>
      <c r="F30" s="405">
        <f>F24</f>
        <v>5.2399999999999999E-3</v>
      </c>
      <c r="G30" s="402" t="s">
        <v>240</v>
      </c>
      <c r="H30" s="153"/>
      <c r="I30" s="405">
        <f>I24</f>
        <v>6.1200000000000004E-3</v>
      </c>
      <c r="J30" s="116" t="s">
        <v>240</v>
      </c>
      <c r="L30" s="405">
        <f t="shared" ref="L30:L31" si="18">I30-F30</f>
        <v>8.8000000000000057E-4</v>
      </c>
      <c r="N30" s="563">
        <f t="shared" ref="N30:N31" si="19">ROUND(L30/F30,3)</f>
        <v>0.16800000000000001</v>
      </c>
      <c r="O30" s="560"/>
      <c r="P30" s="405">
        <f>'Rates Comp'!L32</f>
        <v>7.0200000000000002E-3</v>
      </c>
      <c r="Q30" s="116" t="s">
        <v>240</v>
      </c>
      <c r="R30" s="116"/>
      <c r="S30" s="405">
        <f>P30-I30</f>
        <v>8.9999999999999976E-4</v>
      </c>
      <c r="T30" s="116"/>
      <c r="U30" s="563">
        <f t="shared" si="17"/>
        <v>0.14699999999999999</v>
      </c>
      <c r="V30" s="153"/>
      <c r="W30" s="405">
        <f>P30-F30</f>
        <v>1.7800000000000003E-3</v>
      </c>
      <c r="Y30" s="560">
        <f>ROUND(W30/F30,2)</f>
        <v>0.34</v>
      </c>
      <c r="Z30" s="402"/>
    </row>
    <row r="31" spans="2:26" x14ac:dyDescent="0.4">
      <c r="B31" s="153"/>
      <c r="C31" s="116" t="s">
        <v>52</v>
      </c>
      <c r="D31" s="142">
        <v>50000</v>
      </c>
      <c r="E31" s="402" t="s">
        <v>188</v>
      </c>
      <c r="F31" s="405">
        <f>F25</f>
        <v>4.5100000000000001E-3</v>
      </c>
      <c r="G31" s="402" t="s">
        <v>240</v>
      </c>
      <c r="H31" s="153"/>
      <c r="I31" s="405">
        <f>I25</f>
        <v>5.2700000000000004E-3</v>
      </c>
      <c r="J31" s="116" t="s">
        <v>240</v>
      </c>
      <c r="L31" s="405">
        <f t="shared" si="18"/>
        <v>7.6000000000000026E-4</v>
      </c>
      <c r="N31" s="563">
        <f t="shared" si="19"/>
        <v>0.16900000000000001</v>
      </c>
      <c r="O31" s="560"/>
      <c r="P31" s="405">
        <f>P25</f>
        <v>6.0400000000000002E-3</v>
      </c>
      <c r="Q31" s="116" t="s">
        <v>240</v>
      </c>
      <c r="R31" s="116"/>
      <c r="S31" s="405">
        <f t="shared" ref="S31:S32" si="20">P31-I31</f>
        <v>7.6999999999999985E-4</v>
      </c>
      <c r="T31" s="116"/>
      <c r="U31" s="563">
        <f t="shared" si="17"/>
        <v>0.14599999999999999</v>
      </c>
      <c r="V31" s="153"/>
      <c r="W31" s="405">
        <f>P31-F31</f>
        <v>1.5300000000000001E-3</v>
      </c>
      <c r="Y31" s="560">
        <f>ROUND(W31/F31,2)</f>
        <v>0.34</v>
      </c>
      <c r="Z31" s="402"/>
    </row>
    <row r="32" spans="2:26" x14ac:dyDescent="0.4">
      <c r="B32" s="153"/>
      <c r="C32" s="116" t="s">
        <v>114</v>
      </c>
      <c r="D32" s="142">
        <f>SUM(D28:D31)</f>
        <v>100000</v>
      </c>
      <c r="E32" s="402" t="s">
        <v>188</v>
      </c>
      <c r="F32" s="405">
        <f>F26</f>
        <v>3.7599999999999999E-3</v>
      </c>
      <c r="G32" s="402" t="s">
        <v>240</v>
      </c>
      <c r="H32" s="153"/>
      <c r="I32" s="405">
        <f>I26</f>
        <v>4.3900000000000007E-3</v>
      </c>
      <c r="J32" s="116" t="s">
        <v>240</v>
      </c>
      <c r="L32" s="405">
        <f t="shared" ref="L32" si="21">I32-F32</f>
        <v>6.3000000000000079E-4</v>
      </c>
      <c r="N32" s="563">
        <f t="shared" ref="N32" si="22">ROUND(L32/F32,3)</f>
        <v>0.16800000000000001</v>
      </c>
      <c r="O32" s="560"/>
      <c r="P32" s="405">
        <f>P26</f>
        <v>5.0300000000000006E-3</v>
      </c>
      <c r="Q32" s="116" t="s">
        <v>240</v>
      </c>
      <c r="R32" s="116"/>
      <c r="S32" s="405">
        <f t="shared" si="20"/>
        <v>6.3999999999999994E-4</v>
      </c>
      <c r="T32" s="116"/>
      <c r="U32" s="563">
        <f t="shared" si="17"/>
        <v>0.14599999999999999</v>
      </c>
      <c r="V32" s="153"/>
      <c r="W32" s="405">
        <f>P32-F32</f>
        <v>1.2700000000000007E-3</v>
      </c>
      <c r="Y32" s="560">
        <f>ROUND(W32/F32,2)</f>
        <v>0.34</v>
      </c>
      <c r="Z32" s="402"/>
    </row>
    <row r="33" spans="2:26" x14ac:dyDescent="0.4">
      <c r="B33" s="153"/>
      <c r="D33" s="142"/>
      <c r="E33" s="402"/>
      <c r="F33" s="405"/>
      <c r="G33" s="402"/>
      <c r="H33" s="153"/>
      <c r="I33" s="405"/>
      <c r="L33" s="405"/>
      <c r="N33" s="563"/>
      <c r="O33" s="560"/>
      <c r="P33" s="405"/>
      <c r="Q33" s="116"/>
      <c r="R33" s="116"/>
      <c r="S33" s="405"/>
      <c r="T33" s="116"/>
      <c r="U33" s="563"/>
      <c r="V33" s="153"/>
      <c r="W33" s="405"/>
      <c r="Y33" s="560"/>
      <c r="Z33" s="402"/>
    </row>
    <row r="34" spans="2:26" x14ac:dyDescent="0.4">
      <c r="B34" s="153"/>
      <c r="C34" s="116" t="s">
        <v>337</v>
      </c>
      <c r="D34" s="142"/>
      <c r="E34" s="402"/>
      <c r="F34" s="116"/>
      <c r="G34" s="402"/>
      <c r="H34" s="153"/>
      <c r="I34" s="405"/>
      <c r="N34" s="402"/>
      <c r="P34" s="116"/>
      <c r="Q34" s="116"/>
      <c r="R34" s="116"/>
      <c r="S34" s="116"/>
      <c r="T34" s="116"/>
      <c r="U34" s="402"/>
      <c r="V34" s="153"/>
      <c r="Y34" s="560"/>
      <c r="Z34" s="402"/>
    </row>
    <row r="35" spans="2:26" x14ac:dyDescent="0.4">
      <c r="B35" s="153"/>
      <c r="C35" s="116" t="s">
        <v>51</v>
      </c>
      <c r="D35" s="142">
        <v>25000</v>
      </c>
      <c r="E35" s="402" t="s">
        <v>188</v>
      </c>
      <c r="F35" s="404">
        <v>164.67</v>
      </c>
      <c r="G35" s="402" t="s">
        <v>241</v>
      </c>
      <c r="H35" s="153"/>
      <c r="I35" s="404">
        <f>'Yr 1 Rate Comp'!L37</f>
        <v>192.65</v>
      </c>
      <c r="J35" s="116" t="s">
        <v>241</v>
      </c>
      <c r="L35" s="404">
        <f>I35-F35</f>
        <v>27.980000000000018</v>
      </c>
      <c r="N35" s="563">
        <f>ROUND(L35/F35,3)</f>
        <v>0.17</v>
      </c>
      <c r="O35" s="560"/>
      <c r="P35" s="404">
        <f>'Rates Comp'!L37</f>
        <v>220.93</v>
      </c>
      <c r="Q35" s="116" t="s">
        <v>241</v>
      </c>
      <c r="R35" s="116"/>
      <c r="S35" s="404">
        <f>P35-I35</f>
        <v>28.28</v>
      </c>
      <c r="T35" s="116"/>
      <c r="U35" s="563">
        <f t="shared" ref="U35:U38" si="23">ROUND(S35/I35,3)</f>
        <v>0.14699999999999999</v>
      </c>
      <c r="V35" s="153"/>
      <c r="W35" s="404">
        <f>P35-F35</f>
        <v>56.260000000000019</v>
      </c>
      <c r="Y35" s="560">
        <f>ROUND(W35/F35,2)</f>
        <v>0.34</v>
      </c>
      <c r="Z35" s="402"/>
    </row>
    <row r="36" spans="2:26" x14ac:dyDescent="0.4">
      <c r="B36" s="153"/>
      <c r="C36" s="116" t="s">
        <v>52</v>
      </c>
      <c r="D36" s="142">
        <v>25000</v>
      </c>
      <c r="E36" s="402" t="s">
        <v>188</v>
      </c>
      <c r="F36" s="405">
        <f>F30</f>
        <v>5.2399999999999999E-3</v>
      </c>
      <c r="G36" s="402" t="s">
        <v>240</v>
      </c>
      <c r="H36" s="153"/>
      <c r="I36" s="405">
        <f>I30</f>
        <v>6.1200000000000004E-3</v>
      </c>
      <c r="J36" s="116" t="s">
        <v>240</v>
      </c>
      <c r="L36" s="405">
        <f t="shared" ref="L36:L38" si="24">I36-F36</f>
        <v>8.8000000000000057E-4</v>
      </c>
      <c r="N36" s="563">
        <f t="shared" ref="N36:N38" si="25">ROUND(L36/F36,3)</f>
        <v>0.16800000000000001</v>
      </c>
      <c r="O36" s="560"/>
      <c r="P36" s="405">
        <f>'Rates Comp'!L38</f>
        <v>7.0200000000000002E-3</v>
      </c>
      <c r="Q36" s="116" t="s">
        <v>240</v>
      </c>
      <c r="R36" s="116"/>
      <c r="S36" s="405">
        <f>P36-I36</f>
        <v>8.9999999999999976E-4</v>
      </c>
      <c r="T36" s="116"/>
      <c r="U36" s="563">
        <f t="shared" si="23"/>
        <v>0.14699999999999999</v>
      </c>
      <c r="V36" s="153"/>
      <c r="W36" s="405">
        <f>P36-F36</f>
        <v>1.7800000000000003E-3</v>
      </c>
      <c r="Y36" s="560">
        <f>ROUND(W36/F36,2)</f>
        <v>0.34</v>
      </c>
      <c r="Z36" s="402"/>
    </row>
    <row r="37" spans="2:26" x14ac:dyDescent="0.4">
      <c r="B37" s="153"/>
      <c r="C37" s="116" t="s">
        <v>52</v>
      </c>
      <c r="D37" s="142">
        <v>50000</v>
      </c>
      <c r="E37" s="402" t="s">
        <v>188</v>
      </c>
      <c r="F37" s="405">
        <f>F31</f>
        <v>4.5100000000000001E-3</v>
      </c>
      <c r="G37" s="402" t="s">
        <v>240</v>
      </c>
      <c r="H37" s="153"/>
      <c r="I37" s="405">
        <f>I31</f>
        <v>5.2700000000000004E-3</v>
      </c>
      <c r="J37" s="116" t="s">
        <v>240</v>
      </c>
      <c r="L37" s="405">
        <f t="shared" si="24"/>
        <v>7.6000000000000026E-4</v>
      </c>
      <c r="N37" s="563">
        <f t="shared" si="25"/>
        <v>0.16900000000000001</v>
      </c>
      <c r="O37" s="560"/>
      <c r="P37" s="405">
        <f>'Rates Comp'!L39</f>
        <v>6.0400000000000002E-3</v>
      </c>
      <c r="Q37" s="116" t="s">
        <v>240</v>
      </c>
      <c r="R37" s="116"/>
      <c r="S37" s="405">
        <f t="shared" ref="S37:S38" si="26">P37-I37</f>
        <v>7.6999999999999985E-4</v>
      </c>
      <c r="T37" s="116"/>
      <c r="U37" s="563">
        <f t="shared" si="23"/>
        <v>0.14599999999999999</v>
      </c>
      <c r="V37" s="153"/>
      <c r="W37" s="405">
        <f>P37-F37</f>
        <v>1.5300000000000001E-3</v>
      </c>
      <c r="Y37" s="560">
        <f>ROUND(W37/F37,2)</f>
        <v>0.34</v>
      </c>
      <c r="Z37" s="402"/>
    </row>
    <row r="38" spans="2:26" x14ac:dyDescent="0.4">
      <c r="B38" s="153"/>
      <c r="C38" s="116" t="s">
        <v>114</v>
      </c>
      <c r="D38" s="142">
        <f>SUM(D34:D37)</f>
        <v>100000</v>
      </c>
      <c r="E38" s="402" t="s">
        <v>188</v>
      </c>
      <c r="F38" s="405">
        <f>F32</f>
        <v>3.7599999999999999E-3</v>
      </c>
      <c r="G38" s="402" t="s">
        <v>240</v>
      </c>
      <c r="H38" s="153"/>
      <c r="I38" s="405">
        <f>I32</f>
        <v>4.3900000000000007E-3</v>
      </c>
      <c r="J38" s="116" t="s">
        <v>240</v>
      </c>
      <c r="L38" s="405">
        <f t="shared" si="24"/>
        <v>6.3000000000000079E-4</v>
      </c>
      <c r="N38" s="563">
        <f t="shared" si="25"/>
        <v>0.16800000000000001</v>
      </c>
      <c r="O38" s="560"/>
      <c r="P38" s="405">
        <f>'Rates Comp'!L40</f>
        <v>5.0300000000000006E-3</v>
      </c>
      <c r="Q38" s="116" t="s">
        <v>240</v>
      </c>
      <c r="R38" s="116"/>
      <c r="S38" s="405">
        <f t="shared" si="26"/>
        <v>6.3999999999999994E-4</v>
      </c>
      <c r="T38" s="116"/>
      <c r="U38" s="563">
        <f t="shared" si="23"/>
        <v>0.14599999999999999</v>
      </c>
      <c r="V38" s="153"/>
      <c r="W38" s="405">
        <f>P38-F38</f>
        <v>1.2700000000000007E-3</v>
      </c>
      <c r="Y38" s="560">
        <f>ROUND(W38/F38,2)</f>
        <v>0.34</v>
      </c>
      <c r="Z38" s="402"/>
    </row>
    <row r="39" spans="2:26" x14ac:dyDescent="0.4">
      <c r="B39" s="153"/>
      <c r="D39" s="142"/>
      <c r="E39" s="402"/>
      <c r="F39" s="405"/>
      <c r="G39" s="402"/>
      <c r="H39" s="153"/>
      <c r="I39" s="405"/>
      <c r="N39" s="402"/>
      <c r="P39" s="405"/>
      <c r="Q39" s="116"/>
      <c r="R39" s="116"/>
      <c r="S39" s="116"/>
      <c r="T39" s="116"/>
      <c r="U39" s="402"/>
      <c r="V39" s="153"/>
      <c r="W39" s="405"/>
      <c r="Y39" s="560"/>
      <c r="Z39" s="402"/>
    </row>
    <row r="40" spans="2:26" x14ac:dyDescent="0.4">
      <c r="B40" s="153"/>
      <c r="C40" s="116" t="s">
        <v>338</v>
      </c>
      <c r="D40" s="142"/>
      <c r="E40" s="402"/>
      <c r="F40" s="116"/>
      <c r="G40" s="402"/>
      <c r="H40" s="153"/>
      <c r="I40" s="405"/>
      <c r="N40" s="402"/>
      <c r="P40" s="116"/>
      <c r="Q40" s="116"/>
      <c r="R40" s="116"/>
      <c r="S40" s="116"/>
      <c r="T40" s="116"/>
      <c r="U40" s="402"/>
      <c r="V40" s="153"/>
      <c r="Y40" s="560"/>
      <c r="Z40" s="402"/>
    </row>
    <row r="41" spans="2:26" x14ac:dyDescent="0.4">
      <c r="B41" s="153"/>
      <c r="C41" s="116" t="s">
        <v>51</v>
      </c>
      <c r="D41" s="142">
        <v>30000</v>
      </c>
      <c r="E41" s="402" t="s">
        <v>188</v>
      </c>
      <c r="F41" s="404">
        <v>227.81</v>
      </c>
      <c r="G41" s="402" t="s">
        <v>241</v>
      </c>
      <c r="H41" s="153"/>
      <c r="I41" s="404">
        <f>'Yr 1 Rate Comp'!L43</f>
        <v>266.53000000000003</v>
      </c>
      <c r="J41" s="116" t="s">
        <v>241</v>
      </c>
      <c r="L41" s="404">
        <f>I41-F41</f>
        <v>38.720000000000027</v>
      </c>
      <c r="N41" s="563">
        <f>ROUND(L41/F41,3)</f>
        <v>0.17</v>
      </c>
      <c r="O41" s="560"/>
      <c r="P41" s="404">
        <f>'Rates Comp'!L43</f>
        <v>305.64</v>
      </c>
      <c r="Q41" s="116" t="s">
        <v>241</v>
      </c>
      <c r="R41" s="116"/>
      <c r="S41" s="404">
        <f>P41-I41</f>
        <v>39.109999999999957</v>
      </c>
      <c r="T41" s="116"/>
      <c r="U41" s="563">
        <f t="shared" ref="U41:U44" si="27">ROUND(S41/I41,3)</f>
        <v>0.14699999999999999</v>
      </c>
      <c r="V41" s="153"/>
      <c r="W41" s="404">
        <f>P41-F41</f>
        <v>77.829999999999984</v>
      </c>
      <c r="Y41" s="560">
        <f>ROUND(W41/F41,2)</f>
        <v>0.34</v>
      </c>
      <c r="Z41" s="402"/>
    </row>
    <row r="42" spans="2:26" x14ac:dyDescent="0.4">
      <c r="B42" s="153"/>
      <c r="C42" s="116" t="s">
        <v>52</v>
      </c>
      <c r="D42" s="142">
        <v>20000</v>
      </c>
      <c r="E42" s="402" t="s">
        <v>188</v>
      </c>
      <c r="F42" s="405">
        <f>F36</f>
        <v>5.2399999999999999E-3</v>
      </c>
      <c r="G42" s="402" t="s">
        <v>240</v>
      </c>
      <c r="H42" s="153"/>
      <c r="I42" s="405">
        <f>I36</f>
        <v>6.1200000000000004E-3</v>
      </c>
      <c r="J42" s="116" t="s">
        <v>240</v>
      </c>
      <c r="L42" s="405">
        <f t="shared" ref="L42:L44" si="28">I42-F42</f>
        <v>8.8000000000000057E-4</v>
      </c>
      <c r="N42" s="563">
        <f t="shared" ref="N42:N44" si="29">ROUND(L42/F42,3)</f>
        <v>0.16800000000000001</v>
      </c>
      <c r="O42" s="560"/>
      <c r="P42" s="405">
        <f>'Rates Comp'!L44</f>
        <v>7.0200000000000002E-3</v>
      </c>
      <c r="Q42" s="116" t="s">
        <v>240</v>
      </c>
      <c r="R42" s="116"/>
      <c r="S42" s="405">
        <f>P42-I42</f>
        <v>8.9999999999999976E-4</v>
      </c>
      <c r="T42" s="116"/>
      <c r="U42" s="563">
        <f t="shared" si="27"/>
        <v>0.14699999999999999</v>
      </c>
      <c r="V42" s="153"/>
      <c r="W42" s="405">
        <f>P42-F42</f>
        <v>1.7800000000000003E-3</v>
      </c>
      <c r="Y42" s="560">
        <f>ROUND(W42/F42,2)</f>
        <v>0.34</v>
      </c>
      <c r="Z42" s="402"/>
    </row>
    <row r="43" spans="2:26" x14ac:dyDescent="0.4">
      <c r="B43" s="153"/>
      <c r="C43" s="116" t="s">
        <v>52</v>
      </c>
      <c r="D43" s="142">
        <v>50000</v>
      </c>
      <c r="E43" s="402" t="s">
        <v>188</v>
      </c>
      <c r="F43" s="405">
        <f t="shared" ref="F43:F44" si="30">F37</f>
        <v>4.5100000000000001E-3</v>
      </c>
      <c r="G43" s="402" t="s">
        <v>240</v>
      </c>
      <c r="H43" s="153"/>
      <c r="I43" s="405">
        <f t="shared" ref="I43:I44" si="31">I37</f>
        <v>5.2700000000000004E-3</v>
      </c>
      <c r="J43" s="116" t="s">
        <v>240</v>
      </c>
      <c r="L43" s="405">
        <f t="shared" si="28"/>
        <v>7.6000000000000026E-4</v>
      </c>
      <c r="N43" s="563">
        <f t="shared" si="29"/>
        <v>0.16900000000000001</v>
      </c>
      <c r="O43" s="560"/>
      <c r="P43" s="405">
        <f>'Rates Comp'!L45</f>
        <v>6.0400000000000002E-3</v>
      </c>
      <c r="Q43" s="116" t="s">
        <v>240</v>
      </c>
      <c r="R43" s="116"/>
      <c r="S43" s="405">
        <f t="shared" ref="S43:S44" si="32">P43-I43</f>
        <v>7.6999999999999985E-4</v>
      </c>
      <c r="T43" s="116"/>
      <c r="U43" s="563">
        <f t="shared" si="27"/>
        <v>0.14599999999999999</v>
      </c>
      <c r="V43" s="153"/>
      <c r="W43" s="405">
        <f>P43-F43</f>
        <v>1.5300000000000001E-3</v>
      </c>
      <c r="Y43" s="560">
        <f>ROUND(W43/F43,2)</f>
        <v>0.34</v>
      </c>
      <c r="Z43" s="402"/>
    </row>
    <row r="44" spans="2:26" x14ac:dyDescent="0.4">
      <c r="B44" s="153"/>
      <c r="C44" s="116" t="s">
        <v>114</v>
      </c>
      <c r="D44" s="142">
        <f>SUM(D40:D43)</f>
        <v>100000</v>
      </c>
      <c r="E44" s="116" t="s">
        <v>188</v>
      </c>
      <c r="F44" s="405">
        <f t="shared" si="30"/>
        <v>3.7599999999999999E-3</v>
      </c>
      <c r="G44" s="116" t="s">
        <v>240</v>
      </c>
      <c r="I44" s="405">
        <f t="shared" si="31"/>
        <v>4.3900000000000007E-3</v>
      </c>
      <c r="J44" s="116" t="s">
        <v>240</v>
      </c>
      <c r="L44" s="405">
        <f t="shared" si="28"/>
        <v>6.3000000000000079E-4</v>
      </c>
      <c r="N44" s="560">
        <f t="shared" si="29"/>
        <v>0.16800000000000001</v>
      </c>
      <c r="O44" s="560"/>
      <c r="P44" s="405">
        <f>'Rates Comp'!L46</f>
        <v>5.0300000000000006E-3</v>
      </c>
      <c r="Q44" s="116" t="s">
        <v>240</v>
      </c>
      <c r="R44" s="116"/>
      <c r="S44" s="405">
        <f t="shared" si="32"/>
        <v>6.3999999999999994E-4</v>
      </c>
      <c r="T44" s="116"/>
      <c r="U44" s="560">
        <f t="shared" si="27"/>
        <v>0.14599999999999999</v>
      </c>
      <c r="W44" s="405">
        <f>P44-F44</f>
        <v>1.2700000000000007E-3</v>
      </c>
      <c r="Y44" s="560">
        <f>ROUND(W44/F44,2)</f>
        <v>0.34</v>
      </c>
      <c r="Z44" s="402"/>
    </row>
    <row r="45" spans="2:26" x14ac:dyDescent="0.4">
      <c r="B45" s="153"/>
      <c r="D45" s="142"/>
      <c r="F45" s="405"/>
      <c r="I45" s="405"/>
      <c r="L45" s="405"/>
      <c r="N45" s="560"/>
      <c r="O45" s="560"/>
      <c r="P45" s="405"/>
      <c r="Q45" s="116"/>
      <c r="R45" s="116"/>
      <c r="S45" s="405"/>
      <c r="T45" s="116"/>
      <c r="U45" s="560"/>
      <c r="W45" s="405"/>
      <c r="Y45" s="560"/>
      <c r="Z45" s="402"/>
    </row>
    <row r="46" spans="2:26" ht="22.15" x14ac:dyDescent="0.55000000000000004">
      <c r="B46" s="152"/>
      <c r="C46" s="670" t="s">
        <v>706</v>
      </c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401"/>
    </row>
    <row r="47" spans="2:26" ht="22.15" x14ac:dyDescent="0.55000000000000004">
      <c r="B47" s="153"/>
      <c r="C47" s="671" t="s">
        <v>238</v>
      </c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402"/>
    </row>
    <row r="48" spans="2:26" ht="22.15" x14ac:dyDescent="0.55000000000000004">
      <c r="B48" s="153"/>
      <c r="C48" s="671" t="str">
        <f>C4</f>
        <v>Butler County Water System, Inc.</v>
      </c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402"/>
    </row>
    <row r="49" spans="2:26" x14ac:dyDescent="0.4">
      <c r="B49" s="154"/>
      <c r="C49" s="310"/>
      <c r="D49" s="310"/>
      <c r="E49" s="543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557"/>
      <c r="Y49" s="574"/>
      <c r="Z49" s="408"/>
    </row>
    <row r="50" spans="2:26" x14ac:dyDescent="0.4">
      <c r="B50" s="153"/>
      <c r="C50" s="116" t="s">
        <v>339</v>
      </c>
      <c r="D50" s="142"/>
      <c r="E50" s="402"/>
      <c r="F50" s="116"/>
      <c r="G50" s="402"/>
      <c r="H50" s="153"/>
      <c r="I50" s="405"/>
      <c r="N50" s="402"/>
      <c r="P50" s="116"/>
      <c r="Q50" s="116"/>
      <c r="R50" s="116"/>
      <c r="S50" s="116"/>
      <c r="T50" s="116"/>
      <c r="U50" s="402"/>
      <c r="V50" s="153"/>
      <c r="Y50" s="560"/>
      <c r="Z50" s="402"/>
    </row>
    <row r="51" spans="2:26" x14ac:dyDescent="0.4">
      <c r="B51" s="153"/>
      <c r="C51" s="116" t="s">
        <v>51</v>
      </c>
      <c r="D51" s="142">
        <v>60000</v>
      </c>
      <c r="E51" s="402" t="s">
        <v>188</v>
      </c>
      <c r="F51" s="404">
        <v>397.91</v>
      </c>
      <c r="G51" s="402" t="s">
        <v>241</v>
      </c>
      <c r="H51" s="153"/>
      <c r="I51" s="404">
        <f>'Yr 1 Rate Comp'!L49</f>
        <v>465.54</v>
      </c>
      <c r="J51" s="116" t="s">
        <v>241</v>
      </c>
      <c r="L51" s="404">
        <f>I51-F51</f>
        <v>67.63</v>
      </c>
      <c r="N51" s="563">
        <f>ROUND(L51/F51,3)</f>
        <v>0.17</v>
      </c>
      <c r="O51" s="560"/>
      <c r="P51" s="404">
        <f>'Rates Comp'!L49</f>
        <v>533.87</v>
      </c>
      <c r="Q51" s="116" t="s">
        <v>241</v>
      </c>
      <c r="R51" s="116"/>
      <c r="S51" s="404">
        <f>P51-I51</f>
        <v>68.329999999999984</v>
      </c>
      <c r="T51" s="116"/>
      <c r="U51" s="563">
        <f t="shared" ref="U51:U53" si="33">ROUND(S51/I51,3)</f>
        <v>0.14699999999999999</v>
      </c>
      <c r="V51" s="153"/>
      <c r="W51" s="404">
        <f>P51-F51</f>
        <v>135.95999999999998</v>
      </c>
      <c r="Y51" s="560">
        <f>ROUND(W51/F51,2)</f>
        <v>0.34</v>
      </c>
      <c r="Z51" s="402"/>
    </row>
    <row r="52" spans="2:26" x14ac:dyDescent="0.4">
      <c r="B52" s="153"/>
      <c r="C52" s="116" t="s">
        <v>52</v>
      </c>
      <c r="D52" s="142">
        <v>40000</v>
      </c>
      <c r="E52" s="402" t="s">
        <v>188</v>
      </c>
      <c r="F52" s="405">
        <f>F43</f>
        <v>4.5100000000000001E-3</v>
      </c>
      <c r="G52" s="402" t="s">
        <v>240</v>
      </c>
      <c r="H52" s="153"/>
      <c r="I52" s="405">
        <f>I43</f>
        <v>5.2700000000000004E-3</v>
      </c>
      <c r="J52" s="116" t="s">
        <v>240</v>
      </c>
      <c r="L52" s="405">
        <f t="shared" ref="L52:L53" si="34">I52-F52</f>
        <v>7.6000000000000026E-4</v>
      </c>
      <c r="N52" s="563">
        <f t="shared" ref="N52:N53" si="35">ROUND(L52/F52,3)</f>
        <v>0.16900000000000001</v>
      </c>
      <c r="O52" s="560"/>
      <c r="P52" s="405">
        <f>P43</f>
        <v>6.0400000000000002E-3</v>
      </c>
      <c r="Q52" s="116" t="s">
        <v>240</v>
      </c>
      <c r="R52" s="116"/>
      <c r="S52" s="405">
        <f>P52-I52</f>
        <v>7.6999999999999985E-4</v>
      </c>
      <c r="T52" s="116"/>
      <c r="U52" s="563">
        <f t="shared" si="33"/>
        <v>0.14599999999999999</v>
      </c>
      <c r="V52" s="153"/>
      <c r="W52" s="405">
        <f>P52-F52</f>
        <v>1.5300000000000001E-3</v>
      </c>
      <c r="Y52" s="560">
        <f>ROUND(W52/F52,2)</f>
        <v>0.34</v>
      </c>
      <c r="Z52" s="402"/>
    </row>
    <row r="53" spans="2:26" x14ac:dyDescent="0.4">
      <c r="B53" s="153"/>
      <c r="C53" s="116" t="s">
        <v>114</v>
      </c>
      <c r="D53" s="142">
        <f>SUM(D50:D52)</f>
        <v>100000</v>
      </c>
      <c r="E53" s="402" t="s">
        <v>188</v>
      </c>
      <c r="F53" s="405">
        <f>F44</f>
        <v>3.7599999999999999E-3</v>
      </c>
      <c r="G53" s="402" t="s">
        <v>240</v>
      </c>
      <c r="H53" s="153"/>
      <c r="I53" s="405">
        <f>I44</f>
        <v>4.3900000000000007E-3</v>
      </c>
      <c r="J53" s="116" t="s">
        <v>240</v>
      </c>
      <c r="L53" s="405">
        <f t="shared" si="34"/>
        <v>6.3000000000000079E-4</v>
      </c>
      <c r="N53" s="563">
        <f t="shared" si="35"/>
        <v>0.16800000000000001</v>
      </c>
      <c r="O53" s="560"/>
      <c r="P53" s="405">
        <f>P44</f>
        <v>5.0300000000000006E-3</v>
      </c>
      <c r="Q53" s="116" t="s">
        <v>240</v>
      </c>
      <c r="R53" s="116"/>
      <c r="S53" s="405">
        <f t="shared" ref="S53" si="36">P53-I53</f>
        <v>6.3999999999999994E-4</v>
      </c>
      <c r="T53" s="116"/>
      <c r="U53" s="563">
        <f t="shared" si="33"/>
        <v>0.14599999999999999</v>
      </c>
      <c r="V53" s="153"/>
      <c r="W53" s="405">
        <f>P53-F53</f>
        <v>1.2700000000000007E-3</v>
      </c>
      <c r="Y53" s="560">
        <f>ROUND(W53/F53,2)</f>
        <v>0.34</v>
      </c>
      <c r="Z53" s="402"/>
    </row>
    <row r="54" spans="2:26" x14ac:dyDescent="0.4">
      <c r="B54" s="153"/>
      <c r="D54" s="142"/>
      <c r="E54" s="402"/>
      <c r="F54" s="405"/>
      <c r="G54" s="402"/>
      <c r="H54" s="153"/>
      <c r="I54" s="405"/>
      <c r="N54" s="402"/>
      <c r="P54" s="405"/>
      <c r="Q54" s="116"/>
      <c r="R54" s="116"/>
      <c r="S54" s="116"/>
      <c r="T54" s="116"/>
      <c r="U54" s="402"/>
      <c r="V54" s="153"/>
      <c r="W54" s="405"/>
      <c r="Y54" s="560"/>
      <c r="Z54" s="402"/>
    </row>
    <row r="55" spans="2:26" x14ac:dyDescent="0.4">
      <c r="B55" s="153"/>
      <c r="C55" s="116" t="s">
        <v>340</v>
      </c>
      <c r="D55" s="142"/>
      <c r="E55" s="402"/>
      <c r="F55" s="116"/>
      <c r="G55" s="402"/>
      <c r="H55" s="153"/>
      <c r="I55" s="405"/>
      <c r="N55" s="402"/>
      <c r="P55" s="116"/>
      <c r="Q55" s="116"/>
      <c r="R55" s="116"/>
      <c r="S55" s="116"/>
      <c r="T55" s="116"/>
      <c r="U55" s="402"/>
      <c r="V55" s="153"/>
      <c r="Y55" s="560"/>
      <c r="Z55" s="402"/>
    </row>
    <row r="56" spans="2:26" x14ac:dyDescent="0.4">
      <c r="B56" s="153"/>
      <c r="C56" s="116" t="s">
        <v>51</v>
      </c>
      <c r="D56" s="142">
        <v>80000</v>
      </c>
      <c r="E56" s="402" t="s">
        <v>188</v>
      </c>
      <c r="F56" s="404">
        <v>504.71</v>
      </c>
      <c r="G56" s="402" t="s">
        <v>241</v>
      </c>
      <c r="H56" s="153"/>
      <c r="I56" s="404">
        <f>'Yr 1 Rate Comp'!L54</f>
        <v>590.5</v>
      </c>
      <c r="J56" s="116" t="s">
        <v>241</v>
      </c>
      <c r="L56" s="404">
        <f>I56-F56</f>
        <v>85.79000000000002</v>
      </c>
      <c r="N56" s="563">
        <f>ROUND(L56/F56,3)</f>
        <v>0.17</v>
      </c>
      <c r="O56" s="560"/>
      <c r="P56" s="404">
        <f>'Rates Comp'!L54</f>
        <v>677.16</v>
      </c>
      <c r="Q56" s="116" t="s">
        <v>241</v>
      </c>
      <c r="R56" s="116"/>
      <c r="S56" s="404">
        <f>P56-I56</f>
        <v>86.659999999999968</v>
      </c>
      <c r="T56" s="116"/>
      <c r="U56" s="563">
        <f t="shared" ref="U56:U58" si="37">ROUND(S56/I56,3)</f>
        <v>0.14699999999999999</v>
      </c>
      <c r="V56" s="153"/>
      <c r="W56" s="404">
        <f>P56-F56</f>
        <v>172.45</v>
      </c>
      <c r="Y56" s="560">
        <f>ROUND(W56/F56,2)</f>
        <v>0.34</v>
      </c>
      <c r="Z56" s="402"/>
    </row>
    <row r="57" spans="2:26" x14ac:dyDescent="0.4">
      <c r="B57" s="153"/>
      <c r="C57" s="116" t="s">
        <v>52</v>
      </c>
      <c r="D57" s="142">
        <v>20000</v>
      </c>
      <c r="E57" s="402" t="s">
        <v>188</v>
      </c>
      <c r="F57" s="405">
        <f>F52</f>
        <v>4.5100000000000001E-3</v>
      </c>
      <c r="G57" s="402" t="s">
        <v>240</v>
      </c>
      <c r="H57" s="153"/>
      <c r="I57" s="405">
        <f>I52</f>
        <v>5.2700000000000004E-3</v>
      </c>
      <c r="J57" s="116" t="s">
        <v>240</v>
      </c>
      <c r="L57" s="405">
        <f t="shared" ref="L57:L58" si="38">I57-F57</f>
        <v>7.6000000000000026E-4</v>
      </c>
      <c r="N57" s="563">
        <f t="shared" ref="N57:N58" si="39">ROUND(L57/F57,3)</f>
        <v>0.16900000000000001</v>
      </c>
      <c r="O57" s="560"/>
      <c r="P57" s="405">
        <f>'Rates Comp'!L55</f>
        <v>6.0400000000000002E-3</v>
      </c>
      <c r="Q57" s="116" t="s">
        <v>240</v>
      </c>
      <c r="R57" s="116"/>
      <c r="S57" s="405">
        <f>P57-I57</f>
        <v>7.6999999999999985E-4</v>
      </c>
      <c r="T57" s="116"/>
      <c r="U57" s="563">
        <f t="shared" si="37"/>
        <v>0.14599999999999999</v>
      </c>
      <c r="V57" s="153"/>
      <c r="W57" s="405">
        <f>P57-F57</f>
        <v>1.5300000000000001E-3</v>
      </c>
      <c r="Y57" s="560">
        <f>ROUND(W57/F57,2)</f>
        <v>0.34</v>
      </c>
      <c r="Z57" s="402"/>
    </row>
    <row r="58" spans="2:26" x14ac:dyDescent="0.4">
      <c r="B58" s="153"/>
      <c r="C58" s="116" t="s">
        <v>114</v>
      </c>
      <c r="D58" s="142">
        <f>SUM(D55:D57)</f>
        <v>100000</v>
      </c>
      <c r="E58" s="402" t="s">
        <v>188</v>
      </c>
      <c r="F58" s="405">
        <f>F53</f>
        <v>3.7599999999999999E-3</v>
      </c>
      <c r="G58" s="402" t="s">
        <v>240</v>
      </c>
      <c r="H58" s="153"/>
      <c r="I58" s="405">
        <f>I53</f>
        <v>4.3900000000000007E-3</v>
      </c>
      <c r="J58" s="116" t="s">
        <v>240</v>
      </c>
      <c r="L58" s="405">
        <f t="shared" si="38"/>
        <v>6.3000000000000079E-4</v>
      </c>
      <c r="N58" s="563">
        <f t="shared" si="39"/>
        <v>0.16800000000000001</v>
      </c>
      <c r="O58" s="560"/>
      <c r="P58" s="405">
        <f>'Rates Comp'!L56</f>
        <v>5.0300000000000006E-3</v>
      </c>
      <c r="Q58" s="116" t="s">
        <v>240</v>
      </c>
      <c r="R58" s="116"/>
      <c r="S58" s="405">
        <f t="shared" ref="S58" si="40">P58-I58</f>
        <v>6.3999999999999994E-4</v>
      </c>
      <c r="T58" s="116"/>
      <c r="U58" s="563">
        <f t="shared" si="37"/>
        <v>0.14599999999999999</v>
      </c>
      <c r="V58" s="153"/>
      <c r="W58" s="405">
        <f>P58-F58</f>
        <v>1.2700000000000007E-3</v>
      </c>
      <c r="Y58" s="560">
        <f>ROUND(W58/F58,2)</f>
        <v>0.34</v>
      </c>
      <c r="Z58" s="402"/>
    </row>
    <row r="59" spans="2:26" x14ac:dyDescent="0.4">
      <c r="B59" s="153"/>
      <c r="D59" s="142"/>
      <c r="E59" s="402"/>
      <c r="F59" s="405"/>
      <c r="G59" s="402"/>
      <c r="H59" s="153"/>
      <c r="I59" s="405"/>
      <c r="N59" s="402"/>
      <c r="P59" s="405"/>
      <c r="Q59" s="405"/>
      <c r="R59" s="405"/>
      <c r="S59" s="405"/>
      <c r="T59" s="405"/>
      <c r="U59" s="402"/>
      <c r="V59" s="153"/>
      <c r="W59" s="405"/>
      <c r="Y59" s="560"/>
      <c r="Z59" s="402"/>
    </row>
    <row r="60" spans="2:26" x14ac:dyDescent="0.4">
      <c r="B60" s="153"/>
      <c r="C60" s="116" t="s">
        <v>460</v>
      </c>
      <c r="D60" s="142"/>
      <c r="E60" s="402"/>
      <c r="F60" s="405"/>
      <c r="G60" s="402"/>
      <c r="H60" s="153"/>
      <c r="I60" s="405"/>
      <c r="N60" s="402"/>
      <c r="P60" s="405"/>
      <c r="Q60" s="405"/>
      <c r="R60" s="405"/>
      <c r="S60" s="405"/>
      <c r="T60" s="405"/>
      <c r="U60" s="402"/>
      <c r="V60" s="153"/>
      <c r="W60" s="405"/>
      <c r="Y60" s="560"/>
      <c r="Z60" s="402"/>
    </row>
    <row r="61" spans="2:26" x14ac:dyDescent="0.4">
      <c r="B61" s="153"/>
      <c r="C61" s="116" t="s">
        <v>355</v>
      </c>
      <c r="D61" s="142"/>
      <c r="E61" s="402"/>
      <c r="F61" s="406">
        <f>'Rates Comp'!F61</f>
        <v>68.05</v>
      </c>
      <c r="G61" s="402"/>
      <c r="H61" s="153"/>
      <c r="I61" s="404">
        <f>'Yr 1 Rate Comp'!L59</f>
        <v>20.51</v>
      </c>
      <c r="L61" s="404">
        <f t="shared" ref="L61:L63" si="41">I61-F61</f>
        <v>-47.539999999999992</v>
      </c>
      <c r="N61" s="563">
        <f t="shared" ref="N61:N63" si="42">ROUND(L61/F61,3)</f>
        <v>-0.69899999999999995</v>
      </c>
      <c r="O61" s="560"/>
      <c r="P61" s="404">
        <f>'Rates Comp'!L61</f>
        <v>91.289999999999992</v>
      </c>
      <c r="Q61" s="404"/>
      <c r="R61" s="404"/>
      <c r="S61" s="404">
        <f t="shared" ref="S61:S63" si="43">P61-I61</f>
        <v>70.779999999999987</v>
      </c>
      <c r="T61" s="404"/>
      <c r="U61" s="563">
        <f t="shared" ref="U61:U63" si="44">ROUND(S61/I61,3)</f>
        <v>3.4510000000000001</v>
      </c>
      <c r="V61" s="153"/>
      <c r="W61" s="404">
        <f>P61-F61</f>
        <v>23.239999999999995</v>
      </c>
      <c r="Y61" s="560">
        <f>ROUND(W61/F61,2)</f>
        <v>0.34</v>
      </c>
      <c r="Z61" s="402"/>
    </row>
    <row r="62" spans="2:26" x14ac:dyDescent="0.4">
      <c r="B62" s="153"/>
      <c r="C62" s="116" t="s">
        <v>356</v>
      </c>
      <c r="D62" s="142"/>
      <c r="E62" s="402"/>
      <c r="F62" s="406">
        <f>'Rates Comp'!F62</f>
        <v>147.91999999999999</v>
      </c>
      <c r="G62" s="402"/>
      <c r="H62" s="153"/>
      <c r="I62" s="404">
        <f>'Yr 1 Rate Comp'!L60</f>
        <v>30.65</v>
      </c>
      <c r="L62" s="404">
        <f t="shared" si="41"/>
        <v>-117.26999999999998</v>
      </c>
      <c r="N62" s="563">
        <f t="shared" si="42"/>
        <v>-0.79300000000000004</v>
      </c>
      <c r="O62" s="560"/>
      <c r="P62" s="404">
        <f>'Rates Comp'!L62</f>
        <v>198.45998999999998</v>
      </c>
      <c r="Q62" s="404"/>
      <c r="R62" s="404"/>
      <c r="S62" s="404">
        <f t="shared" si="43"/>
        <v>167.80998999999997</v>
      </c>
      <c r="T62" s="404"/>
      <c r="U62" s="563">
        <f t="shared" si="44"/>
        <v>5.4749999999999996</v>
      </c>
      <c r="V62" s="153"/>
      <c r="W62" s="404">
        <f>P62-F62</f>
        <v>50.539989999999989</v>
      </c>
      <c r="Y62" s="560">
        <f>ROUND(W62/F62,2)</f>
        <v>0.34</v>
      </c>
      <c r="Z62" s="402"/>
    </row>
    <row r="63" spans="2:26" x14ac:dyDescent="0.4">
      <c r="B63" s="153"/>
      <c r="C63" s="116" t="s">
        <v>351</v>
      </c>
      <c r="D63" s="142"/>
      <c r="E63" s="402"/>
      <c r="F63" s="406">
        <f>'Rates Comp'!F63</f>
        <v>340.77</v>
      </c>
      <c r="G63" s="402"/>
      <c r="H63" s="153"/>
      <c r="I63" s="404">
        <f>'Yr 1 Rate Comp'!L61</f>
        <v>79.62</v>
      </c>
      <c r="L63" s="404">
        <f t="shared" si="41"/>
        <v>-261.14999999999998</v>
      </c>
      <c r="N63" s="563">
        <f t="shared" si="42"/>
        <v>-0.76600000000000001</v>
      </c>
      <c r="O63" s="560"/>
      <c r="P63" s="404">
        <f>'Rates Comp'!L63</f>
        <v>457.20999</v>
      </c>
      <c r="Q63" s="404"/>
      <c r="R63" s="404"/>
      <c r="S63" s="404">
        <f t="shared" si="43"/>
        <v>377.58999</v>
      </c>
      <c r="T63" s="404"/>
      <c r="U63" s="563">
        <f t="shared" si="44"/>
        <v>4.742</v>
      </c>
      <c r="V63" s="153"/>
      <c r="W63" s="404">
        <f>P63-F63</f>
        <v>116.43999000000002</v>
      </c>
      <c r="Y63" s="560">
        <f>ROUND(W63/F63,2)</f>
        <v>0.34</v>
      </c>
      <c r="Z63" s="402"/>
    </row>
    <row r="64" spans="2:26" x14ac:dyDescent="0.4">
      <c r="B64" s="154"/>
      <c r="C64" s="310"/>
      <c r="D64" s="310"/>
      <c r="E64" s="408"/>
      <c r="F64" s="543"/>
      <c r="G64" s="408"/>
      <c r="H64" s="154"/>
      <c r="I64" s="310"/>
      <c r="J64" s="310"/>
      <c r="K64" s="310"/>
      <c r="L64" s="310"/>
      <c r="M64" s="310"/>
      <c r="N64" s="408"/>
      <c r="O64" s="310"/>
      <c r="P64" s="543"/>
      <c r="Q64" s="543"/>
      <c r="R64" s="543"/>
      <c r="S64" s="543"/>
      <c r="T64" s="543"/>
      <c r="U64" s="408"/>
      <c r="V64" s="154"/>
      <c r="W64" s="310"/>
      <c r="X64" s="310"/>
      <c r="Y64" s="557"/>
      <c r="Z64" s="408"/>
    </row>
  </sheetData>
  <mergeCells count="16">
    <mergeCell ref="C2:Y2"/>
    <mergeCell ref="C3:Y3"/>
    <mergeCell ref="C4:Y4"/>
    <mergeCell ref="W6:Y6"/>
    <mergeCell ref="C8:E8"/>
    <mergeCell ref="F8:G8"/>
    <mergeCell ref="I6:N6"/>
    <mergeCell ref="I8:J8"/>
    <mergeCell ref="C46:Y46"/>
    <mergeCell ref="C47:Y47"/>
    <mergeCell ref="C48:Y48"/>
    <mergeCell ref="L7:N7"/>
    <mergeCell ref="P6:U6"/>
    <mergeCell ref="S7:U7"/>
    <mergeCell ref="P8:Q8"/>
    <mergeCell ref="W7:Y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B664-5F3F-4BA6-B07F-DD68C2F1790F}">
  <dimension ref="B4:N74"/>
  <sheetViews>
    <sheetView showGridLines="0" workbookViewId="0">
      <selection activeCell="C66" sqref="C66:C73"/>
    </sheetView>
  </sheetViews>
  <sheetFormatPr defaultRowHeight="15" x14ac:dyDescent="0.4"/>
  <cols>
    <col min="2" max="2" width="1.77734375" customWidth="1"/>
    <col min="3" max="3" width="4.88671875" customWidth="1"/>
    <col min="4" max="4" width="17.33203125" customWidth="1"/>
    <col min="5" max="5" width="2.77734375" customWidth="1"/>
    <col min="6" max="6" width="10.77734375" style="244" customWidth="1"/>
    <col min="7" max="7" width="2.77734375" customWidth="1"/>
    <col min="8" max="8" width="10.77734375" style="244" customWidth="1"/>
    <col min="9" max="9" width="2.77734375" customWidth="1"/>
    <col min="10" max="10" width="10.77734375" customWidth="1"/>
    <col min="11" max="11" width="2.77734375" customWidth="1"/>
    <col min="12" max="12" width="10.77734375" customWidth="1"/>
    <col min="13" max="14" width="1.77734375" customWidth="1"/>
  </cols>
  <sheetData>
    <row r="4" spans="2:14" ht="17.25" x14ac:dyDescent="0.45">
      <c r="B4" s="246"/>
      <c r="C4" s="679" t="s">
        <v>722</v>
      </c>
      <c r="D4" s="679"/>
      <c r="E4" s="679"/>
      <c r="F4" s="679"/>
      <c r="G4" s="679"/>
      <c r="H4" s="679"/>
      <c r="I4" s="679"/>
      <c r="J4" s="679"/>
      <c r="K4" s="679"/>
      <c r="L4" s="679"/>
      <c r="M4" s="254"/>
      <c r="N4" s="247"/>
    </row>
    <row r="5" spans="2:14" ht="17.25" x14ac:dyDescent="0.45">
      <c r="B5" s="92"/>
      <c r="C5" s="680" t="s">
        <v>234</v>
      </c>
      <c r="D5" s="680"/>
      <c r="E5" s="680"/>
      <c r="F5" s="680"/>
      <c r="G5" s="680"/>
      <c r="H5" s="680"/>
      <c r="I5" s="680"/>
      <c r="J5" s="680"/>
      <c r="K5" s="680"/>
      <c r="L5" s="680"/>
      <c r="N5" s="238"/>
    </row>
    <row r="6" spans="2:14" ht="17.25" x14ac:dyDescent="0.45">
      <c r="B6" s="92"/>
      <c r="C6" s="680" t="str">
        <f>Adj!B1</f>
        <v>Butler County Water System, Inc.</v>
      </c>
      <c r="D6" s="680"/>
      <c r="E6" s="680"/>
      <c r="F6" s="680"/>
      <c r="G6" s="680"/>
      <c r="H6" s="680"/>
      <c r="I6" s="680"/>
      <c r="J6" s="680"/>
      <c r="K6" s="680"/>
      <c r="L6" s="680"/>
      <c r="N6" s="238"/>
    </row>
    <row r="7" spans="2:14" x14ac:dyDescent="0.4">
      <c r="B7" s="92"/>
      <c r="C7" s="517"/>
      <c r="D7" s="517"/>
      <c r="N7" s="238"/>
    </row>
    <row r="8" spans="2:14" x14ac:dyDescent="0.4">
      <c r="B8" s="92"/>
      <c r="F8" s="571" t="s">
        <v>229</v>
      </c>
      <c r="H8" s="570" t="s">
        <v>698</v>
      </c>
      <c r="J8" s="257"/>
      <c r="L8" s="515"/>
      <c r="N8" s="238"/>
    </row>
    <row r="9" spans="2:14" x14ac:dyDescent="0.4">
      <c r="B9" s="92"/>
      <c r="F9" s="245" t="s">
        <v>230</v>
      </c>
      <c r="H9" s="245" t="s">
        <v>230</v>
      </c>
      <c r="J9" s="243" t="s">
        <v>231</v>
      </c>
      <c r="L9" s="516" t="s">
        <v>232</v>
      </c>
      <c r="N9" s="238"/>
    </row>
    <row r="10" spans="2:14" x14ac:dyDescent="0.4">
      <c r="B10" s="92"/>
      <c r="C10" s="517" t="s">
        <v>333</v>
      </c>
      <c r="D10" s="517"/>
      <c r="N10" s="238"/>
    </row>
    <row r="11" spans="2:14" x14ac:dyDescent="0.4">
      <c r="B11" s="92"/>
      <c r="C11" s="198"/>
      <c r="D11" s="197">
        <v>2000</v>
      </c>
      <c r="F11" s="244">
        <f>'5-8-Inch'!R16</f>
        <v>20.38</v>
      </c>
      <c r="H11" s="244">
        <f>'5-8-Inch'!Z16</f>
        <v>23.83</v>
      </c>
      <c r="J11" s="244">
        <f>H11-F11</f>
        <v>3.4499999999999993</v>
      </c>
      <c r="L11" s="518">
        <f>ROUND(J11/F11,4)</f>
        <v>0.16930000000000001</v>
      </c>
      <c r="N11" s="238"/>
    </row>
    <row r="12" spans="2:14" x14ac:dyDescent="0.4">
      <c r="B12" s="92"/>
      <c r="C12" s="198"/>
      <c r="D12" s="197">
        <v>4000</v>
      </c>
      <c r="F12" s="244">
        <f>'5-8-Inch'!R17</f>
        <v>32.18</v>
      </c>
      <c r="H12" s="244">
        <f>'5-8-Inch'!Z17</f>
        <v>37.61</v>
      </c>
      <c r="J12" s="244">
        <f t="shared" ref="J12:J17" si="0">H12-F12</f>
        <v>5.43</v>
      </c>
      <c r="L12" s="518">
        <f t="shared" ref="L12:L17" si="1">ROUND(J12/F12,4)</f>
        <v>0.16869999999999999</v>
      </c>
      <c r="N12" s="238"/>
    </row>
    <row r="13" spans="2:14" x14ac:dyDescent="0.4">
      <c r="B13" s="92"/>
      <c r="C13" s="198"/>
      <c r="D13" s="197">
        <v>6000</v>
      </c>
      <c r="F13" s="244">
        <f>'5-8-Inch'!R18</f>
        <v>43.98</v>
      </c>
      <c r="H13" s="244">
        <f>'5-8-Inch'!Z18</f>
        <v>51.39</v>
      </c>
      <c r="J13" s="244">
        <f t="shared" si="0"/>
        <v>7.4100000000000037</v>
      </c>
      <c r="L13" s="518">
        <f t="shared" si="1"/>
        <v>0.16850000000000001</v>
      </c>
      <c r="N13" s="238"/>
    </row>
    <row r="14" spans="2:14" x14ac:dyDescent="0.4">
      <c r="B14" s="92"/>
      <c r="C14" s="198"/>
      <c r="D14" s="197">
        <v>8000</v>
      </c>
      <c r="F14" s="244">
        <f>'5-8-Inch'!R19</f>
        <v>54.459999999999994</v>
      </c>
      <c r="H14" s="244">
        <f>'5-8-Inch'!Z19</f>
        <v>63.63</v>
      </c>
      <c r="J14" s="244">
        <f t="shared" si="0"/>
        <v>9.1700000000000088</v>
      </c>
      <c r="L14" s="518">
        <f t="shared" si="1"/>
        <v>0.16839999999999999</v>
      </c>
      <c r="N14" s="238"/>
    </row>
    <row r="15" spans="2:14" x14ac:dyDescent="0.4">
      <c r="B15" s="92"/>
      <c r="C15" s="198"/>
      <c r="D15" s="197">
        <v>10000</v>
      </c>
      <c r="F15" s="244">
        <f>'5-8-Inch'!R20</f>
        <v>64.94</v>
      </c>
      <c r="H15" s="244">
        <f>'5-8-Inch'!Z20</f>
        <v>75.87</v>
      </c>
      <c r="J15" s="244">
        <f t="shared" si="0"/>
        <v>10.930000000000007</v>
      </c>
      <c r="L15" s="518">
        <f t="shared" si="1"/>
        <v>0.16830000000000001</v>
      </c>
      <c r="N15" s="238"/>
    </row>
    <row r="16" spans="2:14" x14ac:dyDescent="0.4">
      <c r="B16" s="92"/>
      <c r="C16" s="198"/>
      <c r="D16" s="197">
        <v>12000</v>
      </c>
      <c r="F16" s="244">
        <f>'5-8-Inch'!R21</f>
        <v>75.419999999999987</v>
      </c>
      <c r="H16" s="244">
        <f>'5-8-Inch'!Z21</f>
        <v>88.110000000000014</v>
      </c>
      <c r="J16" s="244">
        <f t="shared" si="0"/>
        <v>12.690000000000026</v>
      </c>
      <c r="L16" s="518">
        <f t="shared" si="1"/>
        <v>0.16830000000000001</v>
      </c>
      <c r="N16" s="238"/>
    </row>
    <row r="17" spans="2:14" x14ac:dyDescent="0.4">
      <c r="B17" s="92"/>
      <c r="C17" s="198"/>
      <c r="D17" s="197">
        <v>14000</v>
      </c>
      <c r="F17" s="244">
        <f>'5-8-Inch'!R22</f>
        <v>85.9</v>
      </c>
      <c r="H17" s="244">
        <f>'5-8-Inch'!Z22</f>
        <v>100.35</v>
      </c>
      <c r="J17" s="244">
        <f t="shared" si="0"/>
        <v>14.449999999999989</v>
      </c>
      <c r="L17" s="518">
        <f t="shared" si="1"/>
        <v>0.16819999999999999</v>
      </c>
      <c r="N17" s="238"/>
    </row>
    <row r="18" spans="2:14" x14ac:dyDescent="0.4">
      <c r="B18" s="92"/>
      <c r="C18" s="116"/>
      <c r="D18" s="116"/>
      <c r="L18" s="572"/>
      <c r="N18" s="238"/>
    </row>
    <row r="19" spans="2:14" x14ac:dyDescent="0.4">
      <c r="B19" s="92"/>
      <c r="C19" s="116"/>
      <c r="D19" s="116"/>
      <c r="F19" s="571" t="s">
        <v>229</v>
      </c>
      <c r="H19" s="570" t="s">
        <v>698</v>
      </c>
      <c r="J19" s="257"/>
      <c r="L19" s="515"/>
      <c r="N19" s="238"/>
    </row>
    <row r="20" spans="2:14" x14ac:dyDescent="0.4">
      <c r="B20" s="92"/>
      <c r="C20" s="517" t="s">
        <v>334</v>
      </c>
      <c r="D20" s="517"/>
      <c r="F20" s="245" t="s">
        <v>230</v>
      </c>
      <c r="H20" s="245" t="s">
        <v>230</v>
      </c>
      <c r="J20" s="243" t="s">
        <v>231</v>
      </c>
      <c r="L20" s="516" t="s">
        <v>232</v>
      </c>
      <c r="N20" s="238"/>
    </row>
    <row r="21" spans="2:14" x14ac:dyDescent="0.4">
      <c r="B21" s="92"/>
      <c r="C21" s="198"/>
      <c r="D21" s="197">
        <v>2000</v>
      </c>
      <c r="F21" s="244">
        <f>'1-Inch'!Q16</f>
        <v>38.68</v>
      </c>
      <c r="H21" s="244">
        <f>'1-Inch'!Y16</f>
        <v>45.25</v>
      </c>
      <c r="J21" s="244">
        <f t="shared" ref="J21:J27" si="2">H21-F21</f>
        <v>6.57</v>
      </c>
      <c r="L21" s="518">
        <f t="shared" ref="L21:L27" si="3">ROUND(J21/F21,4)</f>
        <v>0.1699</v>
      </c>
      <c r="N21" s="238"/>
    </row>
    <row r="22" spans="2:14" x14ac:dyDescent="0.4">
      <c r="B22" s="92"/>
      <c r="C22" s="198"/>
      <c r="D22" s="197">
        <v>4000</v>
      </c>
      <c r="F22" s="244">
        <f>'1-Inch'!Q17</f>
        <v>38.68</v>
      </c>
      <c r="H22" s="244">
        <f>'1-Inch'!Y17</f>
        <v>45.25</v>
      </c>
      <c r="J22" s="244">
        <f t="shared" si="2"/>
        <v>6.57</v>
      </c>
      <c r="L22" s="518">
        <f t="shared" si="3"/>
        <v>0.1699</v>
      </c>
      <c r="N22" s="238"/>
    </row>
    <row r="23" spans="2:14" x14ac:dyDescent="0.4">
      <c r="B23" s="92"/>
      <c r="C23" s="198"/>
      <c r="D23" s="197">
        <v>6000</v>
      </c>
      <c r="F23" s="244">
        <f>'1-Inch'!Q18</f>
        <v>44.58</v>
      </c>
      <c r="H23" s="244">
        <f>'1-Inch'!Y18</f>
        <v>52.14</v>
      </c>
      <c r="J23" s="244">
        <f t="shared" si="2"/>
        <v>7.5600000000000023</v>
      </c>
      <c r="L23" s="518">
        <f t="shared" si="3"/>
        <v>0.1696</v>
      </c>
      <c r="N23" s="238"/>
    </row>
    <row r="24" spans="2:14" x14ac:dyDescent="0.4">
      <c r="B24" s="92"/>
      <c r="C24" s="198"/>
      <c r="D24" s="197">
        <v>8000</v>
      </c>
      <c r="F24" s="244">
        <f>'1-Inch'!Q19</f>
        <v>55.06</v>
      </c>
      <c r="H24" s="244">
        <f>'1-Inch'!Y19</f>
        <v>64.38</v>
      </c>
      <c r="J24" s="244">
        <f t="shared" si="2"/>
        <v>9.3199999999999932</v>
      </c>
      <c r="L24" s="518">
        <f t="shared" si="3"/>
        <v>0.16930000000000001</v>
      </c>
      <c r="N24" s="238"/>
    </row>
    <row r="25" spans="2:14" x14ac:dyDescent="0.4">
      <c r="B25" s="92"/>
      <c r="C25" s="198"/>
      <c r="D25" s="197">
        <v>10000</v>
      </c>
      <c r="F25" s="244">
        <f>'1-Inch'!Q20</f>
        <v>65.539999999999992</v>
      </c>
      <c r="H25" s="244">
        <f>'1-Inch'!Y20</f>
        <v>76.62</v>
      </c>
      <c r="J25" s="244">
        <f t="shared" si="2"/>
        <v>11.080000000000013</v>
      </c>
      <c r="L25" s="518">
        <f t="shared" si="3"/>
        <v>0.1691</v>
      </c>
      <c r="N25" s="238"/>
    </row>
    <row r="26" spans="2:14" x14ac:dyDescent="0.4">
      <c r="B26" s="92"/>
      <c r="C26" s="198"/>
      <c r="D26" s="197">
        <v>12000</v>
      </c>
      <c r="F26" s="244">
        <f>'1-Inch'!Q21</f>
        <v>76.02</v>
      </c>
      <c r="H26" s="244">
        <f>'1-Inch'!Y21</f>
        <v>88.860000000000014</v>
      </c>
      <c r="J26" s="244">
        <f t="shared" si="2"/>
        <v>12.840000000000018</v>
      </c>
      <c r="L26" s="518">
        <f t="shared" si="3"/>
        <v>0.16889999999999999</v>
      </c>
      <c r="N26" s="238"/>
    </row>
    <row r="27" spans="2:14" x14ac:dyDescent="0.4">
      <c r="B27" s="92"/>
      <c r="C27" s="198"/>
      <c r="D27" s="197">
        <v>14000</v>
      </c>
      <c r="F27" s="244">
        <f>'1-Inch'!Q22</f>
        <v>86.5</v>
      </c>
      <c r="H27" s="244">
        <f>'1-Inch'!Y22</f>
        <v>101.1</v>
      </c>
      <c r="J27" s="244">
        <f t="shared" si="2"/>
        <v>14.599999999999994</v>
      </c>
      <c r="L27" s="518">
        <f t="shared" si="3"/>
        <v>0.16880000000000001</v>
      </c>
      <c r="N27" s="238"/>
    </row>
    <row r="28" spans="2:14" x14ac:dyDescent="0.4">
      <c r="B28" s="92"/>
      <c r="C28" s="198"/>
      <c r="D28" s="198"/>
      <c r="L28" s="572"/>
      <c r="N28" s="238"/>
    </row>
    <row r="29" spans="2:14" x14ac:dyDescent="0.4">
      <c r="B29" s="92"/>
      <c r="C29" s="198"/>
      <c r="D29" s="198"/>
      <c r="F29" s="571" t="s">
        <v>229</v>
      </c>
      <c r="H29" s="570" t="s">
        <v>698</v>
      </c>
      <c r="J29" s="257"/>
      <c r="L29" s="515"/>
      <c r="N29" s="238"/>
    </row>
    <row r="30" spans="2:14" x14ac:dyDescent="0.4">
      <c r="B30" s="92"/>
      <c r="C30" s="517" t="s">
        <v>350</v>
      </c>
      <c r="D30" s="517"/>
      <c r="F30" s="245" t="s">
        <v>230</v>
      </c>
      <c r="H30" s="245" t="s">
        <v>230</v>
      </c>
      <c r="J30" s="243" t="s">
        <v>231</v>
      </c>
      <c r="L30" s="516" t="s">
        <v>232</v>
      </c>
      <c r="N30" s="238"/>
    </row>
    <row r="31" spans="2:14" x14ac:dyDescent="0.4">
      <c r="B31" s="92"/>
      <c r="C31" s="197"/>
      <c r="D31" s="197">
        <v>5000</v>
      </c>
      <c r="F31" s="244">
        <f>'1.5-Inch'!P12</f>
        <v>69.11</v>
      </c>
      <c r="H31" s="244">
        <f>'1.5-Inch'!W12</f>
        <v>80.849999999999994</v>
      </c>
      <c r="J31" s="244">
        <f t="shared" ref="J31:J36" si="4">H31-F31</f>
        <v>11.739999999999995</v>
      </c>
      <c r="L31" s="518">
        <f t="shared" ref="L31:L36" si="5">ROUND(J31/F31,4)</f>
        <v>0.1699</v>
      </c>
      <c r="N31" s="238"/>
    </row>
    <row r="32" spans="2:14" x14ac:dyDescent="0.4">
      <c r="B32" s="92"/>
      <c r="C32" s="197"/>
      <c r="D32" s="197">
        <v>10000</v>
      </c>
      <c r="F32" s="244">
        <f>'1.5-Inch'!P13</f>
        <v>69.11</v>
      </c>
      <c r="H32" s="244">
        <f>'1.5-Inch'!W13</f>
        <v>80.849999999999994</v>
      </c>
      <c r="J32" s="244">
        <f t="shared" si="4"/>
        <v>11.739999999999995</v>
      </c>
      <c r="L32" s="518">
        <f t="shared" si="5"/>
        <v>0.1699</v>
      </c>
      <c r="N32" s="238"/>
    </row>
    <row r="33" spans="2:14" x14ac:dyDescent="0.4">
      <c r="B33" s="92"/>
      <c r="C33" s="197"/>
      <c r="D33" s="197">
        <v>15000</v>
      </c>
      <c r="F33" s="244">
        <f>'1.5-Inch'!P14</f>
        <v>95.31</v>
      </c>
      <c r="H33" s="244">
        <f>'1.5-Inch'!W14</f>
        <v>111.44999999999999</v>
      </c>
      <c r="J33" s="244">
        <f t="shared" si="4"/>
        <v>16.139999999999986</v>
      </c>
      <c r="L33" s="518">
        <f t="shared" si="5"/>
        <v>0.16930000000000001</v>
      </c>
      <c r="N33" s="238"/>
    </row>
    <row r="34" spans="2:14" x14ac:dyDescent="0.4">
      <c r="B34" s="92"/>
      <c r="C34" s="197"/>
      <c r="D34" s="197">
        <v>20000</v>
      </c>
      <c r="F34" s="244">
        <f>'1.5-Inch'!P15</f>
        <v>121.50999999999999</v>
      </c>
      <c r="H34" s="244">
        <f>'1.5-Inch'!W15</f>
        <v>142.05000000000001</v>
      </c>
      <c r="J34" s="244">
        <f t="shared" si="4"/>
        <v>20.54000000000002</v>
      </c>
      <c r="L34" s="518">
        <f t="shared" si="5"/>
        <v>0.16900000000000001</v>
      </c>
      <c r="N34" s="238"/>
    </row>
    <row r="35" spans="2:14" x14ac:dyDescent="0.4">
      <c r="B35" s="92"/>
      <c r="C35" s="197"/>
      <c r="D35" s="197">
        <v>25000</v>
      </c>
      <c r="F35" s="244">
        <f>'1.5-Inch'!P16</f>
        <v>147.70999999999998</v>
      </c>
      <c r="H35" s="244">
        <f>'1.5-Inch'!W16</f>
        <v>172.65</v>
      </c>
      <c r="J35" s="244">
        <f t="shared" si="4"/>
        <v>24.940000000000026</v>
      </c>
      <c r="L35" s="518">
        <f t="shared" si="5"/>
        <v>0.16880000000000001</v>
      </c>
      <c r="N35" s="238"/>
    </row>
    <row r="36" spans="2:14" x14ac:dyDescent="0.4">
      <c r="B36" s="92"/>
      <c r="C36" s="197"/>
      <c r="D36" s="197">
        <v>30000</v>
      </c>
      <c r="F36" s="244">
        <f>'1.5-Inch'!P17</f>
        <v>173.91</v>
      </c>
      <c r="H36" s="244">
        <f>'1.5-Inch'!W17</f>
        <v>203.25</v>
      </c>
      <c r="J36" s="244">
        <f t="shared" si="4"/>
        <v>29.340000000000003</v>
      </c>
      <c r="L36" s="518">
        <f t="shared" si="5"/>
        <v>0.16869999999999999</v>
      </c>
      <c r="N36" s="238"/>
    </row>
    <row r="37" spans="2:14" x14ac:dyDescent="0.4">
      <c r="B37" s="197"/>
      <c r="E37" s="244"/>
      <c r="F37"/>
      <c r="G37" s="244"/>
      <c r="H37"/>
      <c r="I37" s="244"/>
      <c r="K37" s="518"/>
      <c r="M37" s="238"/>
      <c r="N37" s="249"/>
    </row>
    <row r="38" spans="2:14" x14ac:dyDescent="0.4">
      <c r="B38" s="92"/>
      <c r="C38" s="198"/>
      <c r="D38" s="198"/>
      <c r="F38" s="571" t="s">
        <v>229</v>
      </c>
      <c r="H38" s="570" t="s">
        <v>698</v>
      </c>
      <c r="J38" s="257"/>
      <c r="L38" s="515"/>
      <c r="N38" s="238"/>
    </row>
    <row r="39" spans="2:14" x14ac:dyDescent="0.4">
      <c r="B39" s="92"/>
      <c r="C39" s="517" t="s">
        <v>336</v>
      </c>
      <c r="D39" s="517"/>
      <c r="F39" s="245" t="s">
        <v>230</v>
      </c>
      <c r="H39" s="245" t="s">
        <v>230</v>
      </c>
      <c r="J39" s="243" t="s">
        <v>231</v>
      </c>
      <c r="L39" s="516" t="s">
        <v>232</v>
      </c>
      <c r="N39" s="238"/>
    </row>
    <row r="40" spans="2:14" x14ac:dyDescent="0.4">
      <c r="B40" s="92"/>
      <c r="C40" s="197"/>
      <c r="D40" s="197">
        <v>30000</v>
      </c>
      <c r="F40" s="244">
        <f>'2-Inch'!P13</f>
        <v>174.8</v>
      </c>
      <c r="H40" s="244">
        <f>'2-Inch'!W13</f>
        <v>204.35</v>
      </c>
      <c r="J40" s="244">
        <f t="shared" ref="J40:J45" si="6">H40-F40</f>
        <v>29.549999999999983</v>
      </c>
      <c r="L40" s="518">
        <f t="shared" ref="L40:L45" si="7">ROUND(J40/F40,4)</f>
        <v>0.1691</v>
      </c>
      <c r="N40" s="238"/>
    </row>
    <row r="41" spans="2:14" x14ac:dyDescent="0.4">
      <c r="B41" s="92"/>
      <c r="C41" s="197"/>
      <c r="D41" s="197">
        <v>60000</v>
      </c>
      <c r="F41" s="244">
        <f>'2-Inch'!P14</f>
        <v>324.70000000000005</v>
      </c>
      <c r="H41" s="244">
        <f>'2-Inch'!W14</f>
        <v>379.45</v>
      </c>
      <c r="J41" s="244">
        <f t="shared" si="6"/>
        <v>54.749999999999943</v>
      </c>
      <c r="L41" s="518">
        <f t="shared" si="7"/>
        <v>0.1686</v>
      </c>
      <c r="N41" s="238"/>
    </row>
    <row r="42" spans="2:14" x14ac:dyDescent="0.4">
      <c r="B42" s="92"/>
      <c r="C42" s="197"/>
      <c r="D42" s="197">
        <v>80000</v>
      </c>
      <c r="F42" s="244">
        <f>'2-Inch'!P15</f>
        <v>414.90000000000003</v>
      </c>
      <c r="H42" s="244">
        <f>'2-Inch'!W15</f>
        <v>484.85</v>
      </c>
      <c r="J42" s="244">
        <f t="shared" si="6"/>
        <v>69.949999999999989</v>
      </c>
      <c r="L42" s="518">
        <f t="shared" si="7"/>
        <v>0.1686</v>
      </c>
      <c r="N42" s="238"/>
    </row>
    <row r="43" spans="2:14" x14ac:dyDescent="0.4">
      <c r="B43" s="92"/>
      <c r="C43" s="197"/>
      <c r="D43" s="197">
        <v>100000</v>
      </c>
      <c r="F43" s="244">
        <f>'2-Inch'!P16</f>
        <v>505.1</v>
      </c>
      <c r="H43" s="244">
        <f>'2-Inch'!W16</f>
        <v>590.25</v>
      </c>
      <c r="J43" s="244">
        <f t="shared" si="6"/>
        <v>85.149999999999977</v>
      </c>
      <c r="L43" s="518">
        <f t="shared" si="7"/>
        <v>0.1686</v>
      </c>
      <c r="N43" s="238"/>
    </row>
    <row r="44" spans="2:14" x14ac:dyDescent="0.4">
      <c r="B44" s="92"/>
      <c r="C44" s="197"/>
      <c r="D44" s="197">
        <v>120000</v>
      </c>
      <c r="F44" s="244">
        <f>'2-Inch'!P17</f>
        <v>580.30000000000007</v>
      </c>
      <c r="H44" s="244">
        <f>'2-Inch'!W17</f>
        <v>678.05</v>
      </c>
      <c r="J44" s="244">
        <f t="shared" si="6"/>
        <v>97.749999999999886</v>
      </c>
      <c r="L44" s="518">
        <f t="shared" si="7"/>
        <v>0.16839999999999999</v>
      </c>
      <c r="N44" s="238"/>
    </row>
    <row r="45" spans="2:14" x14ac:dyDescent="0.4">
      <c r="B45" s="92"/>
      <c r="C45" s="197"/>
      <c r="D45" s="197">
        <v>140000</v>
      </c>
      <c r="F45" s="244">
        <f>'2-Inch'!P18</f>
        <v>655.5</v>
      </c>
      <c r="H45" s="244">
        <f>'2-Inch'!W18</f>
        <v>765.85</v>
      </c>
      <c r="J45" s="244">
        <f t="shared" si="6"/>
        <v>110.35000000000002</v>
      </c>
      <c r="L45" s="518">
        <f t="shared" si="7"/>
        <v>0.16830000000000001</v>
      </c>
      <c r="N45" s="238"/>
    </row>
    <row r="46" spans="2:14" x14ac:dyDescent="0.4">
      <c r="B46" s="92"/>
      <c r="C46" s="197"/>
      <c r="D46" s="197"/>
      <c r="J46" s="244"/>
      <c r="L46" s="518"/>
      <c r="N46" s="238"/>
    </row>
    <row r="47" spans="2:14" x14ac:dyDescent="0.4">
      <c r="B47" s="92"/>
      <c r="C47" s="116"/>
      <c r="D47" s="116"/>
      <c r="F47" s="571" t="s">
        <v>229</v>
      </c>
      <c r="H47" s="570" t="s">
        <v>698</v>
      </c>
      <c r="J47" s="257"/>
      <c r="L47" s="515"/>
      <c r="N47" s="238"/>
    </row>
    <row r="48" spans="2:14" x14ac:dyDescent="0.4">
      <c r="B48" s="92"/>
      <c r="C48" s="517" t="s">
        <v>338</v>
      </c>
      <c r="D48" s="517"/>
      <c r="F48" s="245" t="s">
        <v>230</v>
      </c>
      <c r="H48" s="245" t="s">
        <v>230</v>
      </c>
      <c r="J48" s="243" t="s">
        <v>231</v>
      </c>
      <c r="L48" s="516" t="s">
        <v>232</v>
      </c>
      <c r="N48" s="238"/>
    </row>
    <row r="49" spans="2:14" x14ac:dyDescent="0.4">
      <c r="B49" s="92"/>
      <c r="C49" s="197"/>
      <c r="D49" s="197">
        <v>60000</v>
      </c>
      <c r="F49" s="244">
        <f>'4-Inch'!P11</f>
        <v>377.71000000000004</v>
      </c>
      <c r="H49" s="244">
        <f>'4-Inch'!W11</f>
        <v>441.63000000000005</v>
      </c>
      <c r="J49" s="244">
        <f t="shared" ref="J49:J53" si="8">H49-F49</f>
        <v>63.920000000000016</v>
      </c>
      <c r="L49" s="518">
        <f t="shared" ref="L49:L53" si="9">ROUND(J49/F49,4)</f>
        <v>0.16919999999999999</v>
      </c>
      <c r="N49" s="238"/>
    </row>
    <row r="50" spans="2:14" x14ac:dyDescent="0.4">
      <c r="B50" s="92"/>
      <c r="C50" s="197"/>
      <c r="D50" s="197">
        <v>80000</v>
      </c>
      <c r="F50" s="244">
        <f>'4-Inch'!P12</f>
        <v>467.91</v>
      </c>
      <c r="H50" s="244">
        <f>'4-Inch'!W12</f>
        <v>547.03000000000009</v>
      </c>
      <c r="J50" s="244">
        <f t="shared" si="8"/>
        <v>79.120000000000061</v>
      </c>
      <c r="L50" s="518">
        <f t="shared" si="9"/>
        <v>0.1691</v>
      </c>
      <c r="N50" s="238"/>
    </row>
    <row r="51" spans="2:14" x14ac:dyDescent="0.4">
      <c r="B51" s="92"/>
      <c r="C51" s="197"/>
      <c r="D51" s="197">
        <v>100000</v>
      </c>
      <c r="F51" s="244">
        <f>'4-Inch'!P13</f>
        <v>558.11</v>
      </c>
      <c r="H51" s="244">
        <f>'4-Inch'!W13</f>
        <v>652.43000000000006</v>
      </c>
      <c r="J51" s="244">
        <f t="shared" si="8"/>
        <v>94.32000000000005</v>
      </c>
      <c r="L51" s="518">
        <f t="shared" si="9"/>
        <v>0.16900000000000001</v>
      </c>
      <c r="N51" s="238"/>
    </row>
    <row r="52" spans="2:14" x14ac:dyDescent="0.4">
      <c r="B52" s="92"/>
      <c r="C52" s="197"/>
      <c r="D52" s="197">
        <v>120000</v>
      </c>
      <c r="F52" s="244">
        <f>'4-Inch'!P14</f>
        <v>633.31000000000006</v>
      </c>
      <c r="H52" s="244">
        <f>'4-Inch'!W14</f>
        <v>740.23</v>
      </c>
      <c r="J52" s="244">
        <f t="shared" si="8"/>
        <v>106.91999999999996</v>
      </c>
      <c r="L52" s="518">
        <f t="shared" si="9"/>
        <v>0.16880000000000001</v>
      </c>
      <c r="N52" s="238"/>
    </row>
    <row r="53" spans="2:14" x14ac:dyDescent="0.4">
      <c r="B53" s="92"/>
      <c r="C53" s="197"/>
      <c r="D53" s="197">
        <v>140000</v>
      </c>
      <c r="F53" s="244">
        <f>'4-Inch'!P15</f>
        <v>708.51</v>
      </c>
      <c r="H53" s="244">
        <f>'4-Inch'!W15</f>
        <v>828.03000000000009</v>
      </c>
      <c r="J53" s="244">
        <f t="shared" si="8"/>
        <v>119.5200000000001</v>
      </c>
      <c r="L53" s="518">
        <f t="shared" si="9"/>
        <v>0.16869999999999999</v>
      </c>
      <c r="N53" s="238"/>
    </row>
    <row r="54" spans="2:14" x14ac:dyDescent="0.4">
      <c r="B54" s="92"/>
      <c r="C54" s="197"/>
      <c r="D54" s="197"/>
      <c r="J54" s="244"/>
      <c r="L54" s="518"/>
      <c r="N54" s="238"/>
    </row>
    <row r="55" spans="2:14" x14ac:dyDescent="0.4">
      <c r="B55" s="92"/>
      <c r="C55" s="197"/>
      <c r="D55" s="197"/>
      <c r="F55" s="571" t="s">
        <v>229</v>
      </c>
      <c r="H55" s="570" t="s">
        <v>698</v>
      </c>
      <c r="J55" s="257"/>
      <c r="L55" s="515"/>
      <c r="N55" s="238"/>
    </row>
    <row r="56" spans="2:14" x14ac:dyDescent="0.4">
      <c r="B56" s="92"/>
      <c r="C56" s="517" t="s">
        <v>339</v>
      </c>
      <c r="D56" s="517"/>
      <c r="F56" s="245" t="s">
        <v>230</v>
      </c>
      <c r="H56" s="245" t="s">
        <v>230</v>
      </c>
      <c r="J56" s="243" t="s">
        <v>231</v>
      </c>
      <c r="L56" s="516" t="s">
        <v>232</v>
      </c>
      <c r="N56" s="238"/>
    </row>
    <row r="57" spans="2:14" x14ac:dyDescent="0.4">
      <c r="B57" s="92"/>
      <c r="C57" s="197"/>
      <c r="D57" s="197">
        <v>120000</v>
      </c>
      <c r="F57" s="244">
        <f>'6-Inch'!O12</f>
        <v>760.31000000000006</v>
      </c>
      <c r="H57" s="244">
        <f>'6-Inch'!U12</f>
        <v>889.09999999999991</v>
      </c>
      <c r="J57" s="244">
        <f t="shared" ref="J57:J61" si="10">H57-F57</f>
        <v>128.78999999999985</v>
      </c>
      <c r="L57" s="518">
        <f t="shared" ref="L57:L61" si="11">ROUND(J57/F57,4)</f>
        <v>0.1694</v>
      </c>
      <c r="N57" s="238"/>
    </row>
    <row r="58" spans="2:14" x14ac:dyDescent="0.4">
      <c r="B58" s="92"/>
      <c r="C58" s="197"/>
      <c r="D58" s="197">
        <v>140000</v>
      </c>
      <c r="F58" s="244">
        <f>'6-Inch'!O13</f>
        <v>835.51</v>
      </c>
      <c r="H58" s="244">
        <f>'6-Inch'!U13</f>
        <v>976.9</v>
      </c>
      <c r="J58" s="244">
        <f t="shared" si="10"/>
        <v>141.38999999999999</v>
      </c>
      <c r="L58" s="518">
        <f t="shared" si="11"/>
        <v>0.16919999999999999</v>
      </c>
      <c r="N58" s="238"/>
    </row>
    <row r="59" spans="2:14" x14ac:dyDescent="0.4">
      <c r="B59" s="92"/>
      <c r="C59" s="197"/>
      <c r="D59" s="197">
        <v>160000</v>
      </c>
      <c r="F59" s="244">
        <f>'6-Inch'!O14</f>
        <v>910.71</v>
      </c>
      <c r="H59" s="244">
        <f>'6-Inch'!U14</f>
        <v>1064.7</v>
      </c>
      <c r="J59" s="244">
        <f t="shared" si="10"/>
        <v>153.99</v>
      </c>
      <c r="L59" s="518">
        <f t="shared" si="11"/>
        <v>0.1691</v>
      </c>
      <c r="N59" s="238"/>
    </row>
    <row r="60" spans="2:14" x14ac:dyDescent="0.4">
      <c r="B60" s="92"/>
      <c r="C60" s="197"/>
      <c r="D60" s="197">
        <v>180000</v>
      </c>
      <c r="F60" s="244">
        <f>'6-Inch'!O15</f>
        <v>985.91000000000008</v>
      </c>
      <c r="H60" s="244">
        <f>'6-Inch'!U15</f>
        <v>1152.5</v>
      </c>
      <c r="J60" s="244">
        <f t="shared" si="10"/>
        <v>166.58999999999992</v>
      </c>
      <c r="L60" s="518">
        <f t="shared" si="11"/>
        <v>0.16900000000000001</v>
      </c>
      <c r="N60" s="238"/>
    </row>
    <row r="61" spans="2:14" x14ac:dyDescent="0.4">
      <c r="B61" s="92"/>
      <c r="C61" s="197"/>
      <c r="D61" s="197">
        <v>200000</v>
      </c>
      <c r="F61" s="244">
        <f>'6-Inch'!O16</f>
        <v>1061.1100000000001</v>
      </c>
      <c r="H61" s="244">
        <f>'6-Inch'!U16</f>
        <v>1240.3</v>
      </c>
      <c r="J61" s="244">
        <f t="shared" si="10"/>
        <v>179.18999999999983</v>
      </c>
      <c r="L61" s="518">
        <f t="shared" si="11"/>
        <v>0.16889999999999999</v>
      </c>
      <c r="N61" s="238"/>
    </row>
    <row r="62" spans="2:14" x14ac:dyDescent="0.4">
      <c r="B62" s="92"/>
      <c r="C62" s="197"/>
      <c r="D62" s="197"/>
      <c r="J62" s="244"/>
      <c r="L62" s="518"/>
      <c r="N62" s="238"/>
    </row>
    <row r="63" spans="2:14" x14ac:dyDescent="0.4">
      <c r="B63" s="92"/>
      <c r="C63" s="517"/>
      <c r="D63" s="517"/>
      <c r="F63" s="571" t="s">
        <v>229</v>
      </c>
      <c r="H63" s="570" t="s">
        <v>698</v>
      </c>
      <c r="J63" s="257"/>
      <c r="L63" s="515"/>
      <c r="N63" s="238"/>
    </row>
    <row r="64" spans="2:14" x14ac:dyDescent="0.4">
      <c r="B64" s="92"/>
      <c r="C64" s="592" t="s">
        <v>460</v>
      </c>
      <c r="D64" s="592"/>
      <c r="F64" s="245" t="s">
        <v>230</v>
      </c>
      <c r="H64" s="245" t="s">
        <v>230</v>
      </c>
      <c r="J64" s="243" t="s">
        <v>231</v>
      </c>
      <c r="L64" s="516" t="s">
        <v>232</v>
      </c>
      <c r="N64" s="238"/>
    </row>
    <row r="65" spans="2:14" x14ac:dyDescent="0.4">
      <c r="B65" s="92"/>
      <c r="F65" s="571"/>
      <c r="H65" s="571"/>
      <c r="J65" s="230"/>
      <c r="L65" s="585"/>
      <c r="N65" s="238"/>
    </row>
    <row r="66" spans="2:14" x14ac:dyDescent="0.4">
      <c r="B66" s="92"/>
      <c r="C66" s="588" t="s">
        <v>716</v>
      </c>
      <c r="D66" s="588"/>
      <c r="F66" s="571">
        <f>'Yr 1 Rate Comp'!F59</f>
        <v>17.53</v>
      </c>
      <c r="H66" s="571">
        <f>'Yr 1 Rate Comp'!L59</f>
        <v>20.51</v>
      </c>
      <c r="J66" s="244">
        <f t="shared" ref="J66:J70" si="12">H66-F66</f>
        <v>2.9800000000000004</v>
      </c>
      <c r="L66" s="518">
        <f t="shared" ref="L66:L73" si="13">ROUND(J66/F66,4)</f>
        <v>0.17</v>
      </c>
      <c r="N66" s="238"/>
    </row>
    <row r="67" spans="2:14" x14ac:dyDescent="0.4">
      <c r="B67" s="92"/>
      <c r="C67" s="588" t="s">
        <v>717</v>
      </c>
      <c r="D67" s="588"/>
      <c r="F67" s="571">
        <f>'Yr 1 Rate Comp'!F60</f>
        <v>26.2</v>
      </c>
      <c r="H67" s="571">
        <f>'Yr 1 Rate Comp'!L60</f>
        <v>30.65</v>
      </c>
      <c r="J67" s="244">
        <f t="shared" si="12"/>
        <v>4.4499999999999993</v>
      </c>
      <c r="L67" s="518">
        <f t="shared" si="13"/>
        <v>0.16980000000000001</v>
      </c>
      <c r="N67" s="238"/>
    </row>
    <row r="68" spans="2:14" x14ac:dyDescent="0.4">
      <c r="B68" s="92"/>
      <c r="C68" s="588" t="s">
        <v>357</v>
      </c>
      <c r="D68" s="588"/>
      <c r="F68" s="571">
        <f>'Yr 1 Rate Comp'!F61</f>
        <v>68.05</v>
      </c>
      <c r="H68" s="571">
        <f>'Yr 1 Rate Comp'!L61</f>
        <v>79.62</v>
      </c>
      <c r="J68" s="244">
        <f t="shared" si="12"/>
        <v>11.570000000000007</v>
      </c>
      <c r="L68" s="518">
        <f t="shared" si="13"/>
        <v>0.17</v>
      </c>
      <c r="N68" s="238"/>
    </row>
    <row r="69" spans="2:14" x14ac:dyDescent="0.4">
      <c r="B69" s="92"/>
      <c r="C69" s="588" t="s">
        <v>345</v>
      </c>
      <c r="D69" s="588"/>
      <c r="F69" s="571">
        <f>'Yr 1 Rate Comp'!F62</f>
        <v>147.91999999999999</v>
      </c>
      <c r="H69" s="571">
        <f>'Yr 1 Rate Comp'!L62</f>
        <v>173.07</v>
      </c>
      <c r="J69" s="244">
        <f t="shared" si="12"/>
        <v>25.150000000000006</v>
      </c>
      <c r="L69" s="518">
        <f t="shared" si="13"/>
        <v>0.17</v>
      </c>
      <c r="N69" s="238"/>
    </row>
    <row r="70" spans="2:14" x14ac:dyDescent="0.4">
      <c r="B70" s="92"/>
      <c r="C70" s="588" t="s">
        <v>346</v>
      </c>
      <c r="D70" s="588"/>
      <c r="F70" s="571">
        <f>'Yr 1 Rate Comp'!F63</f>
        <v>340.77</v>
      </c>
      <c r="H70" s="571">
        <f>'Yr 1 Rate Comp'!L63</f>
        <v>398.7</v>
      </c>
      <c r="J70" s="244">
        <f t="shared" si="12"/>
        <v>57.930000000000007</v>
      </c>
      <c r="L70" s="518">
        <f t="shared" si="13"/>
        <v>0.17</v>
      </c>
      <c r="N70" s="238"/>
    </row>
    <row r="71" spans="2:14" x14ac:dyDescent="0.4">
      <c r="B71" s="92"/>
      <c r="C71" s="588" t="s">
        <v>710</v>
      </c>
      <c r="D71" s="588"/>
      <c r="F71" s="571">
        <f>'Yr 1 Rate Comp'!F64</f>
        <v>658.17</v>
      </c>
      <c r="H71" s="571">
        <f>'Yr 1 Rate Comp'!L64</f>
        <v>770.06</v>
      </c>
      <c r="J71" s="244">
        <f t="shared" ref="J71:J73" si="14">H71-F71</f>
        <v>111.88999999999999</v>
      </c>
      <c r="L71" s="518">
        <f t="shared" si="13"/>
        <v>0.17</v>
      </c>
      <c r="N71" s="238"/>
    </row>
    <row r="72" spans="2:14" x14ac:dyDescent="0.4">
      <c r="B72" s="92"/>
      <c r="C72" s="588" t="s">
        <v>718</v>
      </c>
      <c r="D72" s="588"/>
      <c r="F72" s="571">
        <f>'Yr 1 Rate Comp'!F65</f>
        <v>1139.7</v>
      </c>
      <c r="H72" s="571">
        <f>'Yr 1 Rate Comp'!L65</f>
        <v>1333.45</v>
      </c>
      <c r="J72" s="244">
        <f t="shared" si="14"/>
        <v>193.75</v>
      </c>
      <c r="L72" s="518">
        <f t="shared" si="13"/>
        <v>0.17</v>
      </c>
      <c r="N72" s="238"/>
    </row>
    <row r="73" spans="2:14" x14ac:dyDescent="0.4">
      <c r="B73" s="92"/>
      <c r="C73" s="588" t="s">
        <v>719</v>
      </c>
      <c r="D73" s="588"/>
      <c r="F73" s="571">
        <f>'Yr 1 Rate Comp'!F66</f>
        <v>1799.31</v>
      </c>
      <c r="H73" s="571">
        <f>'Yr 1 Rate Comp'!L66</f>
        <v>2105.19</v>
      </c>
      <c r="J73" s="244">
        <f t="shared" si="14"/>
        <v>305.88000000000011</v>
      </c>
      <c r="L73" s="518">
        <f t="shared" si="13"/>
        <v>0.17</v>
      </c>
      <c r="N73" s="238"/>
    </row>
    <row r="74" spans="2:14" x14ac:dyDescent="0.4">
      <c r="B74" s="248"/>
      <c r="C74" s="136"/>
      <c r="D74" s="136"/>
      <c r="E74" s="136"/>
      <c r="F74" s="250"/>
      <c r="G74" s="136"/>
      <c r="H74" s="250"/>
      <c r="I74" s="136"/>
      <c r="J74" s="136"/>
      <c r="K74" s="136"/>
      <c r="L74" s="136"/>
      <c r="M74" s="136"/>
      <c r="N74" s="249"/>
    </row>
  </sheetData>
  <mergeCells count="3">
    <mergeCell ref="C4:L4"/>
    <mergeCell ref="C5:L5"/>
    <mergeCell ref="C6:L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88F3-8842-409C-A06D-C81DC3486E2B}">
  <dimension ref="B4:M74"/>
  <sheetViews>
    <sheetView showGridLines="0" workbookViewId="0">
      <selection sqref="A1:XFD1048576"/>
    </sheetView>
  </sheetViews>
  <sheetFormatPr defaultRowHeight="15" x14ac:dyDescent="0.4"/>
  <cols>
    <col min="2" max="2" width="1.77734375" customWidth="1"/>
    <col min="3" max="3" width="4.88671875" customWidth="1"/>
    <col min="4" max="4" width="9.88671875" customWidth="1"/>
    <col min="5" max="5" width="2.77734375" customWidth="1"/>
    <col min="6" max="6" width="10.77734375" customWidth="1"/>
    <col min="7" max="7" width="1.77734375" customWidth="1"/>
    <col min="8" max="8" width="10.77734375" customWidth="1"/>
    <col min="9" max="9" width="1.77734375" customWidth="1"/>
    <col min="10" max="10" width="10.77734375" customWidth="1"/>
    <col min="11" max="11" width="1.77734375" customWidth="1"/>
    <col min="12" max="12" width="10.77734375" customWidth="1"/>
    <col min="13" max="13" width="1.77734375" customWidth="1"/>
  </cols>
  <sheetData>
    <row r="4" spans="2:13" ht="17.25" x14ac:dyDescent="0.45">
      <c r="B4" s="246"/>
      <c r="C4" s="679" t="s">
        <v>723</v>
      </c>
      <c r="D4" s="679"/>
      <c r="E4" s="679"/>
      <c r="F4" s="679"/>
      <c r="G4" s="679"/>
      <c r="H4" s="679"/>
      <c r="I4" s="679"/>
      <c r="J4" s="679"/>
      <c r="K4" s="679"/>
      <c r="L4" s="679"/>
      <c r="M4" s="247"/>
    </row>
    <row r="5" spans="2:13" ht="17.25" x14ac:dyDescent="0.45">
      <c r="B5" s="92"/>
      <c r="C5" s="680" t="s">
        <v>234</v>
      </c>
      <c r="D5" s="680"/>
      <c r="E5" s="680"/>
      <c r="F5" s="680"/>
      <c r="G5" s="680"/>
      <c r="H5" s="680"/>
      <c r="I5" s="680"/>
      <c r="J5" s="680"/>
      <c r="K5" s="680"/>
      <c r="L5" s="680"/>
      <c r="M5" s="238"/>
    </row>
    <row r="6" spans="2:13" ht="18" customHeight="1" x14ac:dyDescent="0.45">
      <c r="B6" s="92"/>
      <c r="C6" s="680" t="str">
        <f>Adj!B1</f>
        <v>Butler County Water System, Inc.</v>
      </c>
      <c r="D6" s="680"/>
      <c r="E6" s="680"/>
      <c r="F6" s="680"/>
      <c r="G6" s="680"/>
      <c r="H6" s="680"/>
      <c r="I6" s="680"/>
      <c r="J6" s="680"/>
      <c r="K6" s="680"/>
      <c r="L6" s="680"/>
      <c r="M6" s="238"/>
    </row>
    <row r="7" spans="2:13" x14ac:dyDescent="0.4">
      <c r="B7" s="92"/>
      <c r="C7" s="198"/>
      <c r="D7" s="197"/>
      <c r="F7" s="244"/>
      <c r="G7" s="244"/>
      <c r="H7" s="244"/>
      <c r="J7" s="244"/>
      <c r="L7" s="518"/>
      <c r="M7" s="238"/>
    </row>
    <row r="8" spans="2:13" x14ac:dyDescent="0.4">
      <c r="B8" s="92"/>
      <c r="F8" s="570" t="s">
        <v>698</v>
      </c>
      <c r="H8" s="570" t="s">
        <v>699</v>
      </c>
      <c r="J8" s="257"/>
      <c r="L8" s="515"/>
      <c r="M8" s="238"/>
    </row>
    <row r="9" spans="2:13" x14ac:dyDescent="0.4">
      <c r="B9" s="92"/>
      <c r="F9" s="245" t="s">
        <v>230</v>
      </c>
      <c r="H9" s="245" t="s">
        <v>230</v>
      </c>
      <c r="J9" s="243" t="s">
        <v>231</v>
      </c>
      <c r="L9" s="516" t="s">
        <v>232</v>
      </c>
      <c r="M9" s="238"/>
    </row>
    <row r="10" spans="2:13" x14ac:dyDescent="0.4">
      <c r="B10" s="92"/>
      <c r="C10" s="517" t="s">
        <v>333</v>
      </c>
      <c r="D10" s="517"/>
      <c r="M10" s="238"/>
    </row>
    <row r="11" spans="2:13" x14ac:dyDescent="0.4">
      <c r="B11" s="92"/>
      <c r="C11" s="198"/>
      <c r="D11" s="197">
        <v>2000</v>
      </c>
      <c r="F11" s="244">
        <f>'Table D Year 1'!H11</f>
        <v>23.83</v>
      </c>
      <c r="G11" s="244"/>
      <c r="H11" s="244">
        <f>'5-8-Inch'!Z42</f>
        <v>27.33</v>
      </c>
      <c r="J11" s="244">
        <f>H11-F11</f>
        <v>3.5</v>
      </c>
      <c r="L11" s="518">
        <f>ROUND(J11/F11,4)</f>
        <v>0.1469</v>
      </c>
      <c r="M11" s="238"/>
    </row>
    <row r="12" spans="2:13" x14ac:dyDescent="0.4">
      <c r="B12" s="92"/>
      <c r="C12" s="198"/>
      <c r="D12" s="197">
        <v>4000</v>
      </c>
      <c r="F12" s="244">
        <f>'Table D Year 1'!H12</f>
        <v>37.61</v>
      </c>
      <c r="G12" s="244"/>
      <c r="H12" s="244">
        <f>'5-8-Inch'!Z43</f>
        <v>43.15</v>
      </c>
      <c r="J12" s="244">
        <f t="shared" ref="J12:J17" si="0">H12-F12</f>
        <v>5.5399999999999991</v>
      </c>
      <c r="L12" s="518">
        <f t="shared" ref="L12:L17" si="1">ROUND(J12/F12,4)</f>
        <v>0.14729999999999999</v>
      </c>
      <c r="M12" s="238"/>
    </row>
    <row r="13" spans="2:13" x14ac:dyDescent="0.4">
      <c r="B13" s="92"/>
      <c r="C13" s="198"/>
      <c r="D13" s="197">
        <v>6000</v>
      </c>
      <c r="F13" s="244">
        <f>'Table D Year 1'!H13</f>
        <v>51.39</v>
      </c>
      <c r="G13" s="244"/>
      <c r="H13" s="244">
        <f>'5-8-Inch'!Z44</f>
        <v>58.97</v>
      </c>
      <c r="J13" s="244">
        <f t="shared" si="0"/>
        <v>7.5799999999999983</v>
      </c>
      <c r="L13" s="518">
        <f t="shared" si="1"/>
        <v>0.14749999999999999</v>
      </c>
      <c r="M13" s="238"/>
    </row>
    <row r="14" spans="2:13" x14ac:dyDescent="0.4">
      <c r="B14" s="92"/>
      <c r="C14" s="198"/>
      <c r="D14" s="197">
        <v>8000</v>
      </c>
      <c r="F14" s="244">
        <f>'Table D Year 1'!H14</f>
        <v>63.63</v>
      </c>
      <c r="G14" s="244"/>
      <c r="H14" s="244">
        <f>'5-8-Inch'!Z45</f>
        <v>73.010000000000005</v>
      </c>
      <c r="J14" s="244">
        <f t="shared" si="0"/>
        <v>9.3800000000000026</v>
      </c>
      <c r="L14" s="518">
        <f t="shared" si="1"/>
        <v>0.1474</v>
      </c>
      <c r="M14" s="238"/>
    </row>
    <row r="15" spans="2:13" x14ac:dyDescent="0.4">
      <c r="B15" s="92"/>
      <c r="C15" s="198"/>
      <c r="D15" s="197">
        <v>10000</v>
      </c>
      <c r="F15" s="244">
        <f>'Table D Year 1'!H15</f>
        <v>75.87</v>
      </c>
      <c r="G15" s="244"/>
      <c r="H15" s="244">
        <f>'5-8-Inch'!Z46</f>
        <v>87.05</v>
      </c>
      <c r="J15" s="244">
        <f t="shared" si="0"/>
        <v>11.179999999999993</v>
      </c>
      <c r="L15" s="518">
        <f t="shared" si="1"/>
        <v>0.1474</v>
      </c>
      <c r="M15" s="238"/>
    </row>
    <row r="16" spans="2:13" x14ac:dyDescent="0.4">
      <c r="B16" s="92"/>
      <c r="C16" s="198"/>
      <c r="D16" s="197">
        <v>12000</v>
      </c>
      <c r="F16" s="244">
        <f>'Table D Year 1'!H16</f>
        <v>88.110000000000014</v>
      </c>
      <c r="G16" s="244"/>
      <c r="H16" s="244">
        <f>'5-8-Inch'!Z47</f>
        <v>101.09</v>
      </c>
      <c r="J16" s="244">
        <f t="shared" si="0"/>
        <v>12.97999999999999</v>
      </c>
      <c r="L16" s="518">
        <f t="shared" si="1"/>
        <v>0.14729999999999999</v>
      </c>
      <c r="M16" s="238"/>
    </row>
    <row r="17" spans="2:13" x14ac:dyDescent="0.4">
      <c r="B17" s="92"/>
      <c r="C17" s="198"/>
      <c r="D17" s="197">
        <v>14000</v>
      </c>
      <c r="F17" s="244">
        <f>'Table D Year 1'!H17</f>
        <v>100.35</v>
      </c>
      <c r="G17" s="244"/>
      <c r="H17" s="244">
        <f>'5-8-Inch'!Z48</f>
        <v>115.13</v>
      </c>
      <c r="J17" s="244">
        <f t="shared" si="0"/>
        <v>14.780000000000001</v>
      </c>
      <c r="L17" s="518">
        <f t="shared" si="1"/>
        <v>0.14729999999999999</v>
      </c>
      <c r="M17" s="238"/>
    </row>
    <row r="18" spans="2:13" x14ac:dyDescent="0.4">
      <c r="B18" s="92"/>
      <c r="C18" s="116"/>
      <c r="D18" s="116"/>
      <c r="G18" s="244"/>
      <c r="M18" s="238"/>
    </row>
    <row r="19" spans="2:13" x14ac:dyDescent="0.4">
      <c r="B19" s="92"/>
      <c r="C19" s="116"/>
      <c r="D19" s="116"/>
      <c r="F19" s="570" t="s">
        <v>698</v>
      </c>
      <c r="H19" s="570" t="s">
        <v>699</v>
      </c>
      <c r="J19" s="257"/>
      <c r="L19" s="515"/>
      <c r="M19" s="238"/>
    </row>
    <row r="20" spans="2:13" x14ac:dyDescent="0.4">
      <c r="B20" s="92"/>
      <c r="C20" s="517" t="s">
        <v>334</v>
      </c>
      <c r="D20" s="517"/>
      <c r="F20" s="245" t="s">
        <v>230</v>
      </c>
      <c r="H20" s="245" t="s">
        <v>230</v>
      </c>
      <c r="J20" s="243" t="s">
        <v>231</v>
      </c>
      <c r="L20" s="516" t="s">
        <v>232</v>
      </c>
      <c r="M20" s="238"/>
    </row>
    <row r="21" spans="2:13" x14ac:dyDescent="0.4">
      <c r="B21" s="92"/>
      <c r="C21" s="198"/>
      <c r="D21" s="197">
        <v>2000</v>
      </c>
      <c r="F21" s="244">
        <f>'Table D Year 1'!H21</f>
        <v>45.25</v>
      </c>
      <c r="G21" s="244"/>
      <c r="H21" s="244">
        <f>'1-Inch'!Y43</f>
        <v>51.89</v>
      </c>
      <c r="J21" s="244">
        <f>H21-F21</f>
        <v>6.6400000000000006</v>
      </c>
      <c r="L21" s="518">
        <f>ROUND(J21/F21,4)</f>
        <v>0.1467</v>
      </c>
      <c r="M21" s="238"/>
    </row>
    <row r="22" spans="2:13" x14ac:dyDescent="0.4">
      <c r="B22" s="92"/>
      <c r="C22" s="198"/>
      <c r="D22" s="197">
        <v>4000</v>
      </c>
      <c r="F22" s="244">
        <f>'Table D Year 1'!H22</f>
        <v>45.25</v>
      </c>
      <c r="G22" s="244"/>
      <c r="H22" s="244">
        <f>'1-Inch'!Y44</f>
        <v>51.89</v>
      </c>
      <c r="J22" s="244">
        <f t="shared" ref="J22:J24" si="2">H22-F22</f>
        <v>6.6400000000000006</v>
      </c>
      <c r="L22" s="518">
        <f t="shared" ref="L22:L24" si="3">ROUND(J22/F22,4)</f>
        <v>0.1467</v>
      </c>
      <c r="M22" s="238"/>
    </row>
    <row r="23" spans="2:13" x14ac:dyDescent="0.4">
      <c r="B23" s="92"/>
      <c r="C23" s="198"/>
      <c r="D23" s="197">
        <v>6000</v>
      </c>
      <c r="F23" s="244">
        <f>'Table D Year 1'!H23</f>
        <v>52.14</v>
      </c>
      <c r="G23" s="244"/>
      <c r="H23" s="244">
        <f>'1-Inch'!Y45</f>
        <v>59.8</v>
      </c>
      <c r="J23" s="244">
        <f t="shared" si="2"/>
        <v>7.6599999999999966</v>
      </c>
      <c r="L23" s="518">
        <f t="shared" si="3"/>
        <v>0.1469</v>
      </c>
      <c r="M23" s="238"/>
    </row>
    <row r="24" spans="2:13" x14ac:dyDescent="0.4">
      <c r="B24" s="92"/>
      <c r="C24" s="198"/>
      <c r="D24" s="197">
        <v>8000</v>
      </c>
      <c r="F24" s="244">
        <f>'Table D Year 1'!H24</f>
        <v>64.38</v>
      </c>
      <c r="G24" s="244"/>
      <c r="H24" s="244">
        <f>'1-Inch'!Y46</f>
        <v>73.84</v>
      </c>
      <c r="J24" s="244">
        <f t="shared" si="2"/>
        <v>9.460000000000008</v>
      </c>
      <c r="L24" s="518">
        <f t="shared" si="3"/>
        <v>0.1469</v>
      </c>
      <c r="M24" s="238"/>
    </row>
    <row r="25" spans="2:13" x14ac:dyDescent="0.4">
      <c r="B25" s="92"/>
      <c r="C25" s="198"/>
      <c r="D25" s="197">
        <v>10000</v>
      </c>
      <c r="F25" s="244">
        <f>'Table D Year 1'!H25</f>
        <v>76.62</v>
      </c>
      <c r="G25" s="244"/>
      <c r="H25" s="244">
        <f>'1-Inch'!Y47</f>
        <v>87.88</v>
      </c>
      <c r="J25" s="244">
        <f t="shared" ref="J25:J27" si="4">H25-F25</f>
        <v>11.259999999999991</v>
      </c>
      <c r="L25" s="518">
        <f t="shared" ref="L25:L27" si="5">ROUND(J25/F25,4)</f>
        <v>0.14699999999999999</v>
      </c>
      <c r="M25" s="238"/>
    </row>
    <row r="26" spans="2:13" x14ac:dyDescent="0.4">
      <c r="B26" s="92"/>
      <c r="C26" s="198"/>
      <c r="D26" s="197">
        <v>12000</v>
      </c>
      <c r="F26" s="244">
        <f>'Table D Year 1'!H26</f>
        <v>88.860000000000014</v>
      </c>
      <c r="G26" s="244"/>
      <c r="H26" s="244">
        <f>'1-Inch'!Y48</f>
        <v>101.92</v>
      </c>
      <c r="J26" s="244">
        <f t="shared" si="4"/>
        <v>13.059999999999988</v>
      </c>
      <c r="L26" s="518">
        <f t="shared" si="5"/>
        <v>0.14699999999999999</v>
      </c>
      <c r="M26" s="238"/>
    </row>
    <row r="27" spans="2:13" x14ac:dyDescent="0.4">
      <c r="B27" s="92"/>
      <c r="C27" s="198"/>
      <c r="D27" s="197">
        <v>14000</v>
      </c>
      <c r="F27" s="244">
        <f>'Table D Year 1'!H27</f>
        <v>101.1</v>
      </c>
      <c r="G27" s="244"/>
      <c r="H27" s="244">
        <f>'1-Inch'!Y49</f>
        <v>115.96000000000001</v>
      </c>
      <c r="J27" s="244">
        <f t="shared" si="4"/>
        <v>14.860000000000014</v>
      </c>
      <c r="L27" s="518">
        <f t="shared" si="5"/>
        <v>0.14699999999999999</v>
      </c>
      <c r="M27" s="238"/>
    </row>
    <row r="28" spans="2:13" x14ac:dyDescent="0.4">
      <c r="B28" s="92"/>
      <c r="C28" s="198"/>
      <c r="D28" s="198"/>
      <c r="G28" s="244"/>
      <c r="M28" s="238"/>
    </row>
    <row r="29" spans="2:13" x14ac:dyDescent="0.4">
      <c r="B29" s="92"/>
      <c r="C29" s="198"/>
      <c r="D29" s="198"/>
      <c r="F29" s="570" t="s">
        <v>698</v>
      </c>
      <c r="H29" s="570" t="s">
        <v>699</v>
      </c>
      <c r="J29" s="257"/>
      <c r="L29" s="515"/>
      <c r="M29" s="238"/>
    </row>
    <row r="30" spans="2:13" x14ac:dyDescent="0.4">
      <c r="B30" s="92"/>
      <c r="C30" s="517" t="s">
        <v>350</v>
      </c>
      <c r="D30" s="517"/>
      <c r="F30" s="245" t="s">
        <v>230</v>
      </c>
      <c r="H30" s="245" t="s">
        <v>230</v>
      </c>
      <c r="J30" s="243" t="s">
        <v>231</v>
      </c>
      <c r="L30" s="516" t="s">
        <v>232</v>
      </c>
      <c r="M30" s="238"/>
    </row>
    <row r="31" spans="2:13" x14ac:dyDescent="0.4">
      <c r="B31" s="92"/>
      <c r="C31" s="197"/>
      <c r="D31" s="197">
        <v>5000</v>
      </c>
      <c r="F31" s="244">
        <f>'Table D Year 1'!H31</f>
        <v>80.849999999999994</v>
      </c>
      <c r="G31" s="244"/>
      <c r="H31" s="244">
        <f>'1.5-Inch'!W32</f>
        <v>92.71</v>
      </c>
      <c r="J31" s="244">
        <f t="shared" ref="J31:J36" si="6">H31-F31</f>
        <v>11.86</v>
      </c>
      <c r="L31" s="518">
        <f t="shared" ref="L31:L36" si="7">ROUND(J31/F31,4)</f>
        <v>0.1467</v>
      </c>
      <c r="M31" s="238"/>
    </row>
    <row r="32" spans="2:13" x14ac:dyDescent="0.4">
      <c r="B32" s="92"/>
      <c r="C32" s="197"/>
      <c r="D32" s="197">
        <v>10000</v>
      </c>
      <c r="F32" s="244">
        <f>'Table D Year 1'!H32</f>
        <v>80.849999999999994</v>
      </c>
      <c r="G32" s="244"/>
      <c r="H32" s="244">
        <f>'1.5-Inch'!W33</f>
        <v>92.71</v>
      </c>
      <c r="J32" s="244">
        <f t="shared" si="6"/>
        <v>11.86</v>
      </c>
      <c r="L32" s="518">
        <f t="shared" si="7"/>
        <v>0.1467</v>
      </c>
      <c r="M32" s="238"/>
    </row>
    <row r="33" spans="2:13" x14ac:dyDescent="0.4">
      <c r="B33" s="92"/>
      <c r="C33" s="197"/>
      <c r="D33" s="197">
        <v>15000</v>
      </c>
      <c r="F33" s="244">
        <f>'Table D Year 1'!H33</f>
        <v>111.44999999999999</v>
      </c>
      <c r="G33" s="244"/>
      <c r="H33" s="244">
        <f>'1.5-Inch'!W34</f>
        <v>127.81</v>
      </c>
      <c r="J33" s="244">
        <f t="shared" si="6"/>
        <v>16.360000000000014</v>
      </c>
      <c r="L33" s="518">
        <f t="shared" si="7"/>
        <v>0.14680000000000001</v>
      </c>
      <c r="M33" s="238"/>
    </row>
    <row r="34" spans="2:13" x14ac:dyDescent="0.4">
      <c r="B34" s="92"/>
      <c r="C34" s="197"/>
      <c r="D34" s="197">
        <v>20000</v>
      </c>
      <c r="F34" s="244">
        <f>'Table D Year 1'!H34</f>
        <v>142.05000000000001</v>
      </c>
      <c r="G34" s="244"/>
      <c r="H34" s="244">
        <f>'1.5-Inch'!W35</f>
        <v>162.91</v>
      </c>
      <c r="J34" s="244">
        <f t="shared" si="6"/>
        <v>20.859999999999985</v>
      </c>
      <c r="L34" s="518">
        <f t="shared" si="7"/>
        <v>0.14680000000000001</v>
      </c>
      <c r="M34" s="238"/>
    </row>
    <row r="35" spans="2:13" x14ac:dyDescent="0.4">
      <c r="B35" s="92"/>
      <c r="C35" s="197"/>
      <c r="D35" s="197">
        <v>25000</v>
      </c>
      <c r="F35" s="244">
        <f>'Table D Year 1'!H35</f>
        <v>172.65</v>
      </c>
      <c r="G35" s="244"/>
      <c r="H35" s="244">
        <f>'1.5-Inch'!W36</f>
        <v>198.01</v>
      </c>
      <c r="J35" s="244">
        <f t="shared" si="6"/>
        <v>25.359999999999985</v>
      </c>
      <c r="L35" s="518">
        <f t="shared" si="7"/>
        <v>0.1469</v>
      </c>
      <c r="M35" s="238"/>
    </row>
    <row r="36" spans="2:13" x14ac:dyDescent="0.4">
      <c r="B36" s="92"/>
      <c r="C36" s="197"/>
      <c r="D36" s="197">
        <v>30000</v>
      </c>
      <c r="F36" s="244">
        <f>'Table D Year 1'!H36</f>
        <v>203.25</v>
      </c>
      <c r="G36" s="244"/>
      <c r="H36" s="244">
        <f>'1.5-Inch'!W37</f>
        <v>233.11</v>
      </c>
      <c r="J36" s="244">
        <f t="shared" si="6"/>
        <v>29.860000000000014</v>
      </c>
      <c r="L36" s="518">
        <f t="shared" si="7"/>
        <v>0.1469</v>
      </c>
      <c r="M36" s="238"/>
    </row>
    <row r="37" spans="2:13" x14ac:dyDescent="0.4">
      <c r="B37" s="248"/>
      <c r="E37" s="136"/>
      <c r="F37" s="136"/>
      <c r="G37" s="250"/>
      <c r="H37" s="136"/>
      <c r="I37" s="136"/>
      <c r="J37" s="136"/>
      <c r="K37" s="136"/>
      <c r="L37" s="136"/>
      <c r="M37" s="249"/>
    </row>
    <row r="38" spans="2:13" x14ac:dyDescent="0.4">
      <c r="B38" s="92"/>
      <c r="C38" s="198"/>
      <c r="D38" s="198"/>
      <c r="F38" s="570" t="s">
        <v>698</v>
      </c>
      <c r="H38" s="570" t="s">
        <v>699</v>
      </c>
      <c r="J38" s="257"/>
      <c r="L38" s="515"/>
      <c r="M38" s="238"/>
    </row>
    <row r="39" spans="2:13" x14ac:dyDescent="0.4">
      <c r="B39" s="92"/>
      <c r="C39" s="517" t="s">
        <v>336</v>
      </c>
      <c r="D39" s="517"/>
      <c r="F39" s="245" t="s">
        <v>230</v>
      </c>
      <c r="H39" s="245" t="s">
        <v>230</v>
      </c>
      <c r="J39" s="243" t="s">
        <v>231</v>
      </c>
      <c r="L39" s="516" t="s">
        <v>232</v>
      </c>
      <c r="M39" s="238"/>
    </row>
    <row r="40" spans="2:13" x14ac:dyDescent="0.4">
      <c r="B40" s="92"/>
      <c r="C40" s="197"/>
      <c r="D40" s="197">
        <v>30000</v>
      </c>
      <c r="F40" s="244">
        <f>'Table D Year 1'!H40</f>
        <v>204.35</v>
      </c>
      <c r="G40" s="244"/>
      <c r="H40" s="138">
        <f>'2-Inch'!W33</f>
        <v>234.37</v>
      </c>
      <c r="J40" s="244">
        <f t="shared" ref="J40:J45" si="8">H40-F40</f>
        <v>30.02000000000001</v>
      </c>
      <c r="L40" s="518">
        <f t="shared" ref="L40:L45" si="9">ROUND(J40/F40,4)</f>
        <v>0.1469</v>
      </c>
      <c r="M40" s="238"/>
    </row>
    <row r="41" spans="2:13" x14ac:dyDescent="0.4">
      <c r="B41" s="92"/>
      <c r="C41" s="197"/>
      <c r="D41" s="197">
        <v>60000</v>
      </c>
      <c r="F41" s="244">
        <f>'Table D Year 1'!H41</f>
        <v>379.45</v>
      </c>
      <c r="G41" s="244"/>
      <c r="H41" s="138">
        <f>'2-Inch'!W34</f>
        <v>435.16999999999996</v>
      </c>
      <c r="J41" s="244">
        <f t="shared" si="8"/>
        <v>55.71999999999997</v>
      </c>
      <c r="L41" s="518">
        <f t="shared" si="9"/>
        <v>0.14680000000000001</v>
      </c>
      <c r="M41" s="238"/>
    </row>
    <row r="42" spans="2:13" x14ac:dyDescent="0.4">
      <c r="B42" s="92"/>
      <c r="C42" s="197"/>
      <c r="D42" s="197">
        <v>80000</v>
      </c>
      <c r="F42" s="244">
        <f>'Table D Year 1'!H42</f>
        <v>484.85</v>
      </c>
      <c r="G42" s="244"/>
      <c r="H42" s="138">
        <f>'2-Inch'!W35</f>
        <v>555.97</v>
      </c>
      <c r="J42" s="244">
        <f t="shared" si="8"/>
        <v>71.12</v>
      </c>
      <c r="L42" s="518">
        <f t="shared" si="9"/>
        <v>0.1467</v>
      </c>
      <c r="M42" s="238"/>
    </row>
    <row r="43" spans="2:13" x14ac:dyDescent="0.4">
      <c r="B43" s="92"/>
      <c r="C43" s="197"/>
      <c r="D43" s="197">
        <v>100000</v>
      </c>
      <c r="F43" s="244">
        <f>'Table D Year 1'!H43</f>
        <v>590.25</v>
      </c>
      <c r="G43" s="244"/>
      <c r="H43" s="138">
        <f>'2-Inch'!W36</f>
        <v>676.77</v>
      </c>
      <c r="J43" s="244">
        <f t="shared" si="8"/>
        <v>86.519999999999982</v>
      </c>
      <c r="L43" s="518">
        <f t="shared" si="9"/>
        <v>0.14660000000000001</v>
      </c>
      <c r="M43" s="238"/>
    </row>
    <row r="44" spans="2:13" x14ac:dyDescent="0.4">
      <c r="B44" s="92"/>
      <c r="C44" s="197"/>
      <c r="D44" s="197">
        <v>120000</v>
      </c>
      <c r="F44" s="244">
        <f>'Table D Year 1'!H44</f>
        <v>678.05</v>
      </c>
      <c r="G44" s="244"/>
      <c r="H44" s="138">
        <f>'2-Inch'!W37</f>
        <v>777.37</v>
      </c>
      <c r="J44" s="244">
        <f t="shared" si="8"/>
        <v>99.32000000000005</v>
      </c>
      <c r="L44" s="518">
        <f t="shared" si="9"/>
        <v>0.14649999999999999</v>
      </c>
      <c r="M44" s="238"/>
    </row>
    <row r="45" spans="2:13" x14ac:dyDescent="0.4">
      <c r="B45" s="92"/>
      <c r="C45" s="197"/>
      <c r="D45" s="197">
        <v>140000</v>
      </c>
      <c r="F45" s="244">
        <f>'Table D Year 1'!H45</f>
        <v>765.85</v>
      </c>
      <c r="G45" s="244"/>
      <c r="H45" s="138">
        <f>'2-Inch'!W38</f>
        <v>877.97</v>
      </c>
      <c r="J45" s="244">
        <f t="shared" si="8"/>
        <v>112.12</v>
      </c>
      <c r="L45" s="518">
        <f t="shared" si="9"/>
        <v>0.1464</v>
      </c>
      <c r="M45" s="238"/>
    </row>
    <row r="46" spans="2:13" x14ac:dyDescent="0.4">
      <c r="B46" s="92"/>
      <c r="C46" s="197"/>
      <c r="D46" s="197"/>
      <c r="G46" s="244"/>
      <c r="J46" s="244"/>
      <c r="L46" s="518"/>
      <c r="M46" s="238"/>
    </row>
    <row r="47" spans="2:13" x14ac:dyDescent="0.4">
      <c r="B47" s="92"/>
      <c r="C47" s="116"/>
      <c r="D47" s="116"/>
      <c r="F47" s="570" t="s">
        <v>698</v>
      </c>
      <c r="H47" s="570" t="s">
        <v>699</v>
      </c>
      <c r="J47" s="257"/>
      <c r="L47" s="515"/>
      <c r="M47" s="238"/>
    </row>
    <row r="48" spans="2:13" x14ac:dyDescent="0.4">
      <c r="B48" s="92"/>
      <c r="C48" s="517" t="s">
        <v>338</v>
      </c>
      <c r="D48" s="517"/>
      <c r="F48" s="245" t="s">
        <v>230</v>
      </c>
      <c r="H48" s="245" t="s">
        <v>230</v>
      </c>
      <c r="J48" s="243" t="s">
        <v>231</v>
      </c>
      <c r="L48" s="516" t="s">
        <v>232</v>
      </c>
      <c r="M48" s="238"/>
    </row>
    <row r="49" spans="2:13" x14ac:dyDescent="0.4">
      <c r="B49" s="92"/>
      <c r="C49" s="197"/>
      <c r="D49" s="197">
        <v>60000</v>
      </c>
      <c r="F49" s="244">
        <f>'Table D Year 1'!H49</f>
        <v>441.63000000000005</v>
      </c>
      <c r="G49" s="244"/>
      <c r="H49" s="138">
        <f>'4-Inch'!W28</f>
        <v>506.43999999999994</v>
      </c>
      <c r="J49" s="244">
        <f t="shared" ref="J49:J53" si="10">H49-F49</f>
        <v>64.809999999999889</v>
      </c>
      <c r="L49" s="518">
        <f t="shared" ref="L49:L53" si="11">ROUND(J49/F49,4)</f>
        <v>0.14680000000000001</v>
      </c>
      <c r="M49" s="238"/>
    </row>
    <row r="50" spans="2:13" x14ac:dyDescent="0.4">
      <c r="B50" s="92"/>
      <c r="C50" s="197"/>
      <c r="D50" s="197">
        <v>80000</v>
      </c>
      <c r="F50" s="244">
        <f>'Table D Year 1'!H50</f>
        <v>547.03000000000009</v>
      </c>
      <c r="G50" s="244"/>
      <c r="H50" s="138">
        <f>'4-Inch'!W29</f>
        <v>627.24</v>
      </c>
      <c r="J50" s="244">
        <f t="shared" si="10"/>
        <v>80.209999999999923</v>
      </c>
      <c r="L50" s="518">
        <f t="shared" si="11"/>
        <v>0.14660000000000001</v>
      </c>
      <c r="M50" s="238"/>
    </row>
    <row r="51" spans="2:13" x14ac:dyDescent="0.4">
      <c r="B51" s="92"/>
      <c r="C51" s="197"/>
      <c r="D51" s="197">
        <v>100000</v>
      </c>
      <c r="F51" s="244">
        <f>'Table D Year 1'!H51</f>
        <v>652.43000000000006</v>
      </c>
      <c r="G51" s="244"/>
      <c r="H51" s="138">
        <f>'4-Inch'!W30</f>
        <v>748.04</v>
      </c>
      <c r="J51" s="244">
        <f t="shared" si="10"/>
        <v>95.6099999999999</v>
      </c>
      <c r="L51" s="518">
        <f t="shared" si="11"/>
        <v>0.14649999999999999</v>
      </c>
      <c r="M51" s="238"/>
    </row>
    <row r="52" spans="2:13" x14ac:dyDescent="0.4">
      <c r="B52" s="92"/>
      <c r="C52" s="197"/>
      <c r="D52" s="197">
        <v>120000</v>
      </c>
      <c r="F52" s="244">
        <f>'Table D Year 1'!H52</f>
        <v>740.23</v>
      </c>
      <c r="G52" s="244"/>
      <c r="H52" s="138">
        <f>'4-Inch'!W31</f>
        <v>848.64</v>
      </c>
      <c r="J52" s="244">
        <f t="shared" si="10"/>
        <v>108.40999999999997</v>
      </c>
      <c r="L52" s="518">
        <f t="shared" si="11"/>
        <v>0.14649999999999999</v>
      </c>
      <c r="M52" s="238"/>
    </row>
    <row r="53" spans="2:13" x14ac:dyDescent="0.4">
      <c r="B53" s="92"/>
      <c r="C53" s="197"/>
      <c r="D53" s="197">
        <v>140000</v>
      </c>
      <c r="F53" s="244">
        <f>'Table D Year 1'!H53</f>
        <v>828.03000000000009</v>
      </c>
      <c r="G53" s="244"/>
      <c r="H53" s="138">
        <f>'4-Inch'!W32</f>
        <v>949.24</v>
      </c>
      <c r="J53" s="244">
        <f t="shared" si="10"/>
        <v>121.20999999999992</v>
      </c>
      <c r="L53" s="518">
        <f t="shared" si="11"/>
        <v>0.1464</v>
      </c>
      <c r="M53" s="238"/>
    </row>
    <row r="54" spans="2:13" x14ac:dyDescent="0.4">
      <c r="B54" s="92"/>
      <c r="C54" s="197"/>
      <c r="D54" s="197"/>
      <c r="G54" s="244"/>
      <c r="J54" s="244"/>
      <c r="L54" s="518"/>
      <c r="M54" s="238"/>
    </row>
    <row r="55" spans="2:13" x14ac:dyDescent="0.4">
      <c r="B55" s="92"/>
      <c r="C55" s="197"/>
      <c r="D55" s="197"/>
      <c r="F55" s="570" t="s">
        <v>698</v>
      </c>
      <c r="H55" s="570" t="s">
        <v>699</v>
      </c>
      <c r="J55" s="257"/>
      <c r="L55" s="515"/>
      <c r="M55" s="238"/>
    </row>
    <row r="56" spans="2:13" x14ac:dyDescent="0.4">
      <c r="B56" s="92"/>
      <c r="C56" s="517" t="s">
        <v>339</v>
      </c>
      <c r="D56" s="517"/>
      <c r="F56" s="245" t="s">
        <v>230</v>
      </c>
      <c r="H56" s="245" t="s">
        <v>230</v>
      </c>
      <c r="J56" s="243" t="s">
        <v>231</v>
      </c>
      <c r="L56" s="516" t="s">
        <v>232</v>
      </c>
      <c r="M56" s="238"/>
    </row>
    <row r="57" spans="2:13" x14ac:dyDescent="0.4">
      <c r="B57" s="92"/>
      <c r="C57" s="197"/>
      <c r="D57" s="197">
        <v>120000</v>
      </c>
      <c r="F57" s="244">
        <f>'Table D Year 1'!H57</f>
        <v>889.09999999999991</v>
      </c>
      <c r="G57" s="244"/>
      <c r="H57" s="138">
        <f>'6-Inch'!U30</f>
        <v>1019.36</v>
      </c>
      <c r="J57" s="244">
        <f t="shared" ref="J57:J61" si="12">H57-F57</f>
        <v>130.2600000000001</v>
      </c>
      <c r="L57" s="518">
        <f t="shared" ref="L57:L61" si="13">ROUND(J57/F57,4)</f>
        <v>0.14649999999999999</v>
      </c>
      <c r="M57" s="238"/>
    </row>
    <row r="58" spans="2:13" x14ac:dyDescent="0.4">
      <c r="B58" s="92"/>
      <c r="C58" s="197"/>
      <c r="D58" s="197">
        <v>140000</v>
      </c>
      <c r="F58" s="244">
        <f>'Table D Year 1'!H58</f>
        <v>976.9</v>
      </c>
      <c r="G58" s="244"/>
      <c r="H58" s="138">
        <f>'6-Inch'!U31</f>
        <v>1119.96</v>
      </c>
      <c r="J58" s="244">
        <f t="shared" si="12"/>
        <v>143.06000000000006</v>
      </c>
      <c r="L58" s="518">
        <f t="shared" si="13"/>
        <v>0.1464</v>
      </c>
      <c r="M58" s="238"/>
    </row>
    <row r="59" spans="2:13" x14ac:dyDescent="0.4">
      <c r="B59" s="92"/>
      <c r="C59" s="197"/>
      <c r="D59" s="197">
        <v>160000</v>
      </c>
      <c r="F59" s="244">
        <f>'Table D Year 1'!H59</f>
        <v>1064.7</v>
      </c>
      <c r="G59" s="244"/>
      <c r="H59" s="138">
        <f>'6-Inch'!U32</f>
        <v>1220.56</v>
      </c>
      <c r="J59" s="244">
        <f t="shared" si="12"/>
        <v>155.8599999999999</v>
      </c>
      <c r="L59" s="518">
        <f t="shared" si="13"/>
        <v>0.1464</v>
      </c>
      <c r="M59" s="238"/>
    </row>
    <row r="60" spans="2:13" x14ac:dyDescent="0.4">
      <c r="B60" s="92"/>
      <c r="C60" s="197"/>
      <c r="D60" s="197">
        <v>180000</v>
      </c>
      <c r="F60" s="244">
        <f>'Table D Year 1'!H60</f>
        <v>1152.5</v>
      </c>
      <c r="G60" s="244"/>
      <c r="H60" s="138">
        <f>'6-Inch'!U33</f>
        <v>1321.16</v>
      </c>
      <c r="J60" s="244">
        <f t="shared" si="12"/>
        <v>168.66000000000008</v>
      </c>
      <c r="L60" s="518">
        <f t="shared" si="13"/>
        <v>0.14630000000000001</v>
      </c>
      <c r="M60" s="238"/>
    </row>
    <row r="61" spans="2:13" x14ac:dyDescent="0.4">
      <c r="B61" s="92"/>
      <c r="C61" s="197"/>
      <c r="D61" s="197">
        <v>200000</v>
      </c>
      <c r="F61" s="244">
        <f>'Table D Year 1'!H61</f>
        <v>1240.3</v>
      </c>
      <c r="G61" s="244"/>
      <c r="H61" s="138">
        <f>'6-Inch'!U34</f>
        <v>1421.76</v>
      </c>
      <c r="J61" s="244">
        <f t="shared" si="12"/>
        <v>181.46000000000004</v>
      </c>
      <c r="L61" s="518">
        <f t="shared" si="13"/>
        <v>0.14630000000000001</v>
      </c>
      <c r="M61" s="238"/>
    </row>
    <row r="62" spans="2:13" x14ac:dyDescent="0.4">
      <c r="B62" s="92"/>
      <c r="C62" s="197"/>
      <c r="D62" s="197"/>
      <c r="G62" s="244"/>
      <c r="J62" s="244"/>
      <c r="L62" s="518"/>
      <c r="M62" s="238"/>
    </row>
    <row r="63" spans="2:13" x14ac:dyDescent="0.4">
      <c r="B63" s="92"/>
      <c r="C63" s="517"/>
      <c r="D63" s="517"/>
      <c r="F63" s="570" t="s">
        <v>698</v>
      </c>
      <c r="H63" s="570" t="s">
        <v>699</v>
      </c>
      <c r="J63" s="257"/>
      <c r="L63" s="515"/>
      <c r="M63" s="238"/>
    </row>
    <row r="64" spans="2:13" x14ac:dyDescent="0.4">
      <c r="B64" s="92"/>
      <c r="C64" s="592" t="s">
        <v>460</v>
      </c>
      <c r="D64" s="592"/>
      <c r="F64" s="245" t="s">
        <v>230</v>
      </c>
      <c r="H64" s="245" t="s">
        <v>230</v>
      </c>
      <c r="J64" s="243" t="s">
        <v>231</v>
      </c>
      <c r="L64" s="516" t="s">
        <v>232</v>
      </c>
      <c r="M64" s="238"/>
    </row>
    <row r="65" spans="2:13" x14ac:dyDescent="0.4">
      <c r="B65" s="92"/>
      <c r="F65" s="571"/>
      <c r="H65" s="571"/>
      <c r="J65" s="230"/>
      <c r="L65" s="585"/>
      <c r="M65" s="238"/>
    </row>
    <row r="66" spans="2:13" x14ac:dyDescent="0.4">
      <c r="B66" s="92"/>
      <c r="C66" s="588" t="s">
        <v>716</v>
      </c>
      <c r="D66" s="588"/>
      <c r="F66" s="244">
        <f>'Table D Year 1'!H66</f>
        <v>20.51</v>
      </c>
      <c r="H66" s="571">
        <f>'YR 2 Rate Comp'!L59</f>
        <v>23.525000000000002</v>
      </c>
      <c r="J66" s="244">
        <f t="shared" ref="J66:J73" si="14">H66-F66</f>
        <v>3.0150000000000006</v>
      </c>
      <c r="L66" s="518">
        <f t="shared" ref="L66:L70" si="15">ROUND(J66/F66,4)</f>
        <v>0.14699999999999999</v>
      </c>
      <c r="M66" s="238"/>
    </row>
    <row r="67" spans="2:13" x14ac:dyDescent="0.4">
      <c r="B67" s="92"/>
      <c r="C67" s="588" t="s">
        <v>717</v>
      </c>
      <c r="D67" s="588"/>
      <c r="F67" s="244">
        <f>'Table D Year 1'!H67</f>
        <v>30.65</v>
      </c>
      <c r="H67" s="571">
        <f>'YR 2 Rate Comp'!L60</f>
        <v>35.155999999999999</v>
      </c>
      <c r="J67" s="244">
        <f t="shared" si="14"/>
        <v>4.5060000000000002</v>
      </c>
      <c r="L67" s="518">
        <f t="shared" si="15"/>
        <v>0.14699999999999999</v>
      </c>
      <c r="M67" s="238"/>
    </row>
    <row r="68" spans="2:13" x14ac:dyDescent="0.4">
      <c r="B68" s="92"/>
      <c r="C68" s="588" t="s">
        <v>357</v>
      </c>
      <c r="D68" s="588"/>
      <c r="F68" s="244">
        <f>'Table D Year 1'!H68</f>
        <v>79.62</v>
      </c>
      <c r="H68" s="571">
        <f>'YR 2 Rate Comp'!L61</f>
        <v>91.324000000000012</v>
      </c>
      <c r="J68" s="244">
        <f t="shared" si="14"/>
        <v>11.704000000000008</v>
      </c>
      <c r="L68" s="518">
        <f t="shared" si="15"/>
        <v>0.14699999999999999</v>
      </c>
      <c r="M68" s="238"/>
    </row>
    <row r="69" spans="2:13" x14ac:dyDescent="0.4">
      <c r="B69" s="92"/>
      <c r="C69" s="588" t="s">
        <v>345</v>
      </c>
      <c r="D69" s="588"/>
      <c r="F69" s="244">
        <f>'Table D Year 1'!H69</f>
        <v>173.07</v>
      </c>
      <c r="H69" s="571">
        <f>'YR 2 Rate Comp'!L62</f>
        <v>198.511</v>
      </c>
      <c r="J69" s="244">
        <f t="shared" si="14"/>
        <v>25.441000000000003</v>
      </c>
      <c r="L69" s="518">
        <f t="shared" si="15"/>
        <v>0.14699999999999999</v>
      </c>
      <c r="M69" s="238"/>
    </row>
    <row r="70" spans="2:13" x14ac:dyDescent="0.4">
      <c r="B70" s="92"/>
      <c r="C70" s="588" t="s">
        <v>346</v>
      </c>
      <c r="D70" s="588"/>
      <c r="F70" s="244">
        <f>'Table D Year 1'!H70</f>
        <v>398.7</v>
      </c>
      <c r="H70" s="571">
        <f>'YR 2 Rate Comp'!L63</f>
        <v>457.30899999999997</v>
      </c>
      <c r="J70" s="244">
        <f t="shared" si="14"/>
        <v>58.60899999999998</v>
      </c>
      <c r="L70" s="518">
        <f t="shared" si="15"/>
        <v>0.14699999999999999</v>
      </c>
      <c r="M70" s="238"/>
    </row>
    <row r="71" spans="2:13" x14ac:dyDescent="0.4">
      <c r="B71" s="92"/>
      <c r="C71" s="588" t="s">
        <v>710</v>
      </c>
      <c r="D71" s="588"/>
      <c r="F71" s="244">
        <f>'Table D Year 1'!H71</f>
        <v>770.06</v>
      </c>
      <c r="H71" s="571">
        <f>'YR 2 Rate Comp'!L64</f>
        <v>883.2589999999999</v>
      </c>
      <c r="J71" s="244">
        <f t="shared" si="14"/>
        <v>113.19899999999996</v>
      </c>
      <c r="L71" s="518">
        <f>ROUND(J71/F71,4)</f>
        <v>0.14699999999999999</v>
      </c>
      <c r="M71" s="238"/>
    </row>
    <row r="72" spans="2:13" x14ac:dyDescent="0.4">
      <c r="B72" s="92"/>
      <c r="C72" s="588" t="s">
        <v>718</v>
      </c>
      <c r="D72" s="588"/>
      <c r="F72" s="244">
        <f>'Table D Year 1'!H72</f>
        <v>1333.45</v>
      </c>
      <c r="H72" s="571">
        <f>'YR 2 Rate Comp'!L65</f>
        <v>1529.4670000000001</v>
      </c>
      <c r="J72" s="244">
        <f t="shared" si="14"/>
        <v>196.01700000000005</v>
      </c>
      <c r="L72" s="518">
        <f>ROUND(J72/F72,4)</f>
        <v>0.14699999999999999</v>
      </c>
      <c r="M72" s="238"/>
    </row>
    <row r="73" spans="2:13" x14ac:dyDescent="0.4">
      <c r="B73" s="92"/>
      <c r="C73" s="588" t="s">
        <v>719</v>
      </c>
      <c r="D73" s="588"/>
      <c r="F73" s="244">
        <f>'Table D Year 1'!H73</f>
        <v>2105.19</v>
      </c>
      <c r="H73" s="571">
        <f>'YR 2 Rate Comp'!L66</f>
        <v>2414.6530000000002</v>
      </c>
      <c r="J73" s="244">
        <f t="shared" si="14"/>
        <v>309.46300000000019</v>
      </c>
      <c r="L73" s="518">
        <f>ROUND(J73/F73,4)</f>
        <v>0.14699999999999999</v>
      </c>
      <c r="M73" s="238"/>
    </row>
    <row r="74" spans="2:13" x14ac:dyDescent="0.4">
      <c r="B74" s="248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249"/>
    </row>
  </sheetData>
  <mergeCells count="3">
    <mergeCell ref="C4:L4"/>
    <mergeCell ref="C5:L5"/>
    <mergeCell ref="C6:L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5D6D-1AAE-4494-9697-0F0A5461FDF9}">
  <dimension ref="B4:M74"/>
  <sheetViews>
    <sheetView workbookViewId="0">
      <selection sqref="A1:XFD1048576"/>
    </sheetView>
  </sheetViews>
  <sheetFormatPr defaultRowHeight="15" x14ac:dyDescent="0.4"/>
  <cols>
    <col min="2" max="2" width="1.77734375" customWidth="1"/>
    <col min="3" max="3" width="4.88671875" customWidth="1"/>
    <col min="4" max="4" width="9.88671875" customWidth="1"/>
    <col min="5" max="5" width="2.77734375" customWidth="1"/>
    <col min="6" max="6" width="10.77734375" customWidth="1"/>
    <col min="7" max="7" width="1.77734375" customWidth="1"/>
    <col min="8" max="8" width="10.77734375" customWidth="1"/>
    <col min="9" max="9" width="1.77734375" customWidth="1"/>
    <col min="10" max="10" width="10.77734375" customWidth="1"/>
    <col min="11" max="11" width="1.77734375" customWidth="1"/>
    <col min="12" max="12" width="10.77734375" style="597" customWidth="1"/>
    <col min="13" max="13" width="1.77734375" customWidth="1"/>
  </cols>
  <sheetData>
    <row r="4" spans="2:13" ht="17.25" x14ac:dyDescent="0.45">
      <c r="B4" s="246"/>
      <c r="C4" s="679" t="s">
        <v>728</v>
      </c>
      <c r="D4" s="679"/>
      <c r="E4" s="679"/>
      <c r="F4" s="679"/>
      <c r="G4" s="679"/>
      <c r="H4" s="679"/>
      <c r="I4" s="679"/>
      <c r="J4" s="679"/>
      <c r="K4" s="679"/>
      <c r="L4" s="679"/>
      <c r="M4" s="247"/>
    </row>
    <row r="5" spans="2:13" ht="17.25" x14ac:dyDescent="0.45">
      <c r="B5" s="92"/>
      <c r="C5" s="680" t="s">
        <v>234</v>
      </c>
      <c r="D5" s="680"/>
      <c r="E5" s="680"/>
      <c r="F5" s="680"/>
      <c r="G5" s="680"/>
      <c r="H5" s="680"/>
      <c r="I5" s="680"/>
      <c r="J5" s="680"/>
      <c r="K5" s="680"/>
      <c r="L5" s="680"/>
      <c r="M5" s="238"/>
    </row>
    <row r="6" spans="2:13" ht="18" customHeight="1" x14ac:dyDescent="0.45">
      <c r="B6" s="92"/>
      <c r="C6" s="680" t="str">
        <f>Adj!B1</f>
        <v>Butler County Water System, Inc.</v>
      </c>
      <c r="D6" s="680"/>
      <c r="E6" s="680"/>
      <c r="F6" s="680"/>
      <c r="G6" s="680"/>
      <c r="H6" s="680"/>
      <c r="I6" s="680"/>
      <c r="J6" s="680"/>
      <c r="K6" s="680"/>
      <c r="L6" s="680"/>
      <c r="M6" s="238"/>
    </row>
    <row r="7" spans="2:13" x14ac:dyDescent="0.4">
      <c r="B7" s="92"/>
      <c r="C7" s="198"/>
      <c r="D7" s="197"/>
      <c r="F7" s="244"/>
      <c r="G7" s="244"/>
      <c r="H7" s="244"/>
      <c r="J7" s="244"/>
      <c r="L7" s="596"/>
      <c r="M7" s="238"/>
    </row>
    <row r="8" spans="2:13" x14ac:dyDescent="0.4">
      <c r="B8" s="92"/>
      <c r="F8" s="570" t="s">
        <v>229</v>
      </c>
      <c r="H8" s="570" t="s">
        <v>721</v>
      </c>
      <c r="J8" s="257"/>
      <c r="L8" s="515"/>
      <c r="M8" s="238"/>
    </row>
    <row r="9" spans="2:13" x14ac:dyDescent="0.4">
      <c r="B9" s="92"/>
      <c r="F9" s="245" t="s">
        <v>230</v>
      </c>
      <c r="H9" s="245" t="s">
        <v>230</v>
      </c>
      <c r="J9" s="243" t="s">
        <v>231</v>
      </c>
      <c r="L9" s="516" t="s">
        <v>232</v>
      </c>
      <c r="M9" s="238"/>
    </row>
    <row r="10" spans="2:13" x14ac:dyDescent="0.4">
      <c r="B10" s="92"/>
      <c r="C10" s="517" t="s">
        <v>333</v>
      </c>
      <c r="D10" s="517"/>
      <c r="M10" s="238"/>
    </row>
    <row r="11" spans="2:13" x14ac:dyDescent="0.4">
      <c r="B11" s="92"/>
      <c r="C11" s="198"/>
      <c r="D11" s="197">
        <v>2000</v>
      </c>
      <c r="F11" s="244">
        <f>'Table D Year 1'!F11</f>
        <v>20.38</v>
      </c>
      <c r="G11" s="244"/>
      <c r="H11" s="244">
        <f>'5-8-Inch'!Z42</f>
        <v>27.33</v>
      </c>
      <c r="J11" s="244">
        <f>H11-F11</f>
        <v>6.9499999999999993</v>
      </c>
      <c r="L11" s="596">
        <f>ROUND(J11/F11,4)</f>
        <v>0.34100000000000003</v>
      </c>
      <c r="M11" s="238"/>
    </row>
    <row r="12" spans="2:13" x14ac:dyDescent="0.4">
      <c r="B12" s="92"/>
      <c r="C12" s="198"/>
      <c r="D12" s="197">
        <v>4000</v>
      </c>
      <c r="F12" s="244">
        <f>'Table D Year 1'!F12</f>
        <v>32.18</v>
      </c>
      <c r="G12" s="244"/>
      <c r="H12" s="244">
        <f>'5-8-Inch'!Z43</f>
        <v>43.15</v>
      </c>
      <c r="J12" s="244">
        <f t="shared" ref="J12:J17" si="0">H12-F12</f>
        <v>10.969999999999999</v>
      </c>
      <c r="L12" s="596">
        <f t="shared" ref="L12:L17" si="1">ROUND(J12/F12,4)</f>
        <v>0.34089999999999998</v>
      </c>
      <c r="M12" s="238"/>
    </row>
    <row r="13" spans="2:13" x14ac:dyDescent="0.4">
      <c r="B13" s="92"/>
      <c r="C13" s="198"/>
      <c r="D13" s="197">
        <v>6000</v>
      </c>
      <c r="F13" s="244">
        <f>'Table D Year 1'!F13</f>
        <v>43.98</v>
      </c>
      <c r="G13" s="244"/>
      <c r="H13" s="244">
        <f>'5-8-Inch'!Z44</f>
        <v>58.97</v>
      </c>
      <c r="J13" s="244">
        <f t="shared" si="0"/>
        <v>14.990000000000002</v>
      </c>
      <c r="L13" s="596">
        <f t="shared" si="1"/>
        <v>0.34079999999999999</v>
      </c>
      <c r="M13" s="238"/>
    </row>
    <row r="14" spans="2:13" x14ac:dyDescent="0.4">
      <c r="B14" s="92"/>
      <c r="C14" s="198"/>
      <c r="D14" s="197">
        <v>8000</v>
      </c>
      <c r="F14" s="244">
        <f>'Table D Year 1'!F14</f>
        <v>54.459999999999994</v>
      </c>
      <c r="G14" s="244"/>
      <c r="H14" s="244">
        <f>'5-8-Inch'!Z45</f>
        <v>73.010000000000005</v>
      </c>
      <c r="J14" s="244">
        <f t="shared" si="0"/>
        <v>18.550000000000011</v>
      </c>
      <c r="L14" s="596">
        <f t="shared" si="1"/>
        <v>0.34060000000000001</v>
      </c>
      <c r="M14" s="238"/>
    </row>
    <row r="15" spans="2:13" x14ac:dyDescent="0.4">
      <c r="B15" s="92"/>
      <c r="C15" s="198"/>
      <c r="D15" s="197">
        <v>10000</v>
      </c>
      <c r="F15" s="244">
        <f>'Table D Year 1'!F15</f>
        <v>64.94</v>
      </c>
      <c r="G15" s="244"/>
      <c r="H15" s="244">
        <f>'5-8-Inch'!Z46</f>
        <v>87.05</v>
      </c>
      <c r="J15" s="244">
        <f t="shared" si="0"/>
        <v>22.11</v>
      </c>
      <c r="L15" s="596">
        <f t="shared" si="1"/>
        <v>0.34050000000000002</v>
      </c>
      <c r="M15" s="238"/>
    </row>
    <row r="16" spans="2:13" x14ac:dyDescent="0.4">
      <c r="B16" s="92"/>
      <c r="C16" s="198"/>
      <c r="D16" s="197">
        <v>12000</v>
      </c>
      <c r="F16" s="244">
        <f>'Table D Year 1'!F16</f>
        <v>75.419999999999987</v>
      </c>
      <c r="G16" s="244"/>
      <c r="H16" s="244">
        <f>'5-8-Inch'!Z47</f>
        <v>101.09</v>
      </c>
      <c r="J16" s="244">
        <f t="shared" si="0"/>
        <v>25.670000000000016</v>
      </c>
      <c r="L16" s="596">
        <f t="shared" si="1"/>
        <v>0.34039999999999998</v>
      </c>
      <c r="M16" s="238"/>
    </row>
    <row r="17" spans="2:13" x14ac:dyDescent="0.4">
      <c r="B17" s="92"/>
      <c r="C17" s="198"/>
      <c r="D17" s="197">
        <v>14000</v>
      </c>
      <c r="F17" s="244">
        <f>'Table D Year 1'!F17</f>
        <v>85.9</v>
      </c>
      <c r="G17" s="244"/>
      <c r="H17" s="244">
        <f>'5-8-Inch'!Z48</f>
        <v>115.13</v>
      </c>
      <c r="J17" s="244">
        <f t="shared" si="0"/>
        <v>29.22999999999999</v>
      </c>
      <c r="L17" s="596">
        <f t="shared" si="1"/>
        <v>0.34029999999999999</v>
      </c>
      <c r="M17" s="238"/>
    </row>
    <row r="18" spans="2:13" x14ac:dyDescent="0.4">
      <c r="B18" s="92"/>
      <c r="C18" s="116"/>
      <c r="D18" s="116"/>
      <c r="G18" s="244"/>
      <c r="M18" s="238"/>
    </row>
    <row r="19" spans="2:13" x14ac:dyDescent="0.4">
      <c r="B19" s="92"/>
      <c r="C19" s="116"/>
      <c r="D19" s="116"/>
      <c r="F19" s="570" t="s">
        <v>229</v>
      </c>
      <c r="H19" s="570" t="s">
        <v>721</v>
      </c>
      <c r="J19" s="257"/>
      <c r="L19" s="515"/>
      <c r="M19" s="238"/>
    </row>
    <row r="20" spans="2:13" x14ac:dyDescent="0.4">
      <c r="B20" s="92"/>
      <c r="C20" s="517" t="s">
        <v>334</v>
      </c>
      <c r="D20" s="517"/>
      <c r="F20" s="245" t="s">
        <v>230</v>
      </c>
      <c r="H20" s="245" t="s">
        <v>230</v>
      </c>
      <c r="J20" s="243" t="s">
        <v>231</v>
      </c>
      <c r="L20" s="516" t="s">
        <v>232</v>
      </c>
      <c r="M20" s="238"/>
    </row>
    <row r="21" spans="2:13" x14ac:dyDescent="0.4">
      <c r="B21" s="92"/>
      <c r="C21" s="198"/>
      <c r="D21" s="197">
        <v>2000</v>
      </c>
      <c r="F21" s="244">
        <f>'Table D Year 1'!F21</f>
        <v>38.68</v>
      </c>
      <c r="G21" s="244"/>
      <c r="H21" s="244">
        <f>'1-Inch'!Y43</f>
        <v>51.89</v>
      </c>
      <c r="J21" s="244">
        <f>H21-F21</f>
        <v>13.21</v>
      </c>
      <c r="L21" s="596">
        <f>ROUND(J21/F21,4)</f>
        <v>0.34150000000000003</v>
      </c>
      <c r="M21" s="238"/>
    </row>
    <row r="22" spans="2:13" x14ac:dyDescent="0.4">
      <c r="B22" s="92"/>
      <c r="C22" s="198"/>
      <c r="D22" s="197">
        <v>4000</v>
      </c>
      <c r="F22" s="244">
        <f>'Table D Year 1'!F22</f>
        <v>38.68</v>
      </c>
      <c r="G22" s="244"/>
      <c r="H22" s="244">
        <f>'1-Inch'!Y44</f>
        <v>51.89</v>
      </c>
      <c r="J22" s="244">
        <f t="shared" ref="J22:J27" si="2">H22-F22</f>
        <v>13.21</v>
      </c>
      <c r="L22" s="596">
        <f t="shared" ref="L22:L27" si="3">ROUND(J22/F22,4)</f>
        <v>0.34150000000000003</v>
      </c>
      <c r="M22" s="238"/>
    </row>
    <row r="23" spans="2:13" x14ac:dyDescent="0.4">
      <c r="B23" s="92"/>
      <c r="C23" s="198"/>
      <c r="D23" s="197">
        <v>6000</v>
      </c>
      <c r="F23" s="244">
        <f>'Table D Year 1'!F23</f>
        <v>44.58</v>
      </c>
      <c r="G23" s="244"/>
      <c r="H23" s="244">
        <f>'1-Inch'!Y45</f>
        <v>59.8</v>
      </c>
      <c r="J23" s="244">
        <f t="shared" si="2"/>
        <v>15.219999999999999</v>
      </c>
      <c r="L23" s="596">
        <f t="shared" si="3"/>
        <v>0.34139999999999998</v>
      </c>
      <c r="M23" s="238"/>
    </row>
    <row r="24" spans="2:13" x14ac:dyDescent="0.4">
      <c r="B24" s="92"/>
      <c r="C24" s="198"/>
      <c r="D24" s="197">
        <v>8000</v>
      </c>
      <c r="F24" s="244">
        <f>'Table D Year 1'!F24</f>
        <v>55.06</v>
      </c>
      <c r="G24" s="244"/>
      <c r="H24" s="244">
        <f>'1-Inch'!Y46</f>
        <v>73.84</v>
      </c>
      <c r="J24" s="244">
        <f t="shared" si="2"/>
        <v>18.78</v>
      </c>
      <c r="L24" s="596">
        <f t="shared" si="3"/>
        <v>0.34110000000000001</v>
      </c>
      <c r="M24" s="238"/>
    </row>
    <row r="25" spans="2:13" x14ac:dyDescent="0.4">
      <c r="B25" s="92"/>
      <c r="C25" s="198"/>
      <c r="D25" s="197">
        <v>10000</v>
      </c>
      <c r="F25" s="244">
        <f>'Table D Year 1'!F25</f>
        <v>65.539999999999992</v>
      </c>
      <c r="G25" s="244"/>
      <c r="H25" s="244">
        <f>'1-Inch'!Y47</f>
        <v>87.88</v>
      </c>
      <c r="J25" s="244">
        <f t="shared" si="2"/>
        <v>22.340000000000003</v>
      </c>
      <c r="L25" s="596">
        <f t="shared" si="3"/>
        <v>0.34089999999999998</v>
      </c>
      <c r="M25" s="238"/>
    </row>
    <row r="26" spans="2:13" x14ac:dyDescent="0.4">
      <c r="B26" s="92"/>
      <c r="C26" s="198"/>
      <c r="D26" s="197">
        <v>12000</v>
      </c>
      <c r="F26" s="244">
        <f>'Table D Year 1'!F26</f>
        <v>76.02</v>
      </c>
      <c r="G26" s="244"/>
      <c r="H26" s="244">
        <f>'1-Inch'!Y48</f>
        <v>101.92</v>
      </c>
      <c r="J26" s="244">
        <f t="shared" si="2"/>
        <v>25.900000000000006</v>
      </c>
      <c r="L26" s="596">
        <f t="shared" si="3"/>
        <v>0.3407</v>
      </c>
      <c r="M26" s="238"/>
    </row>
    <row r="27" spans="2:13" x14ac:dyDescent="0.4">
      <c r="B27" s="92"/>
      <c r="C27" s="198"/>
      <c r="D27" s="197">
        <v>14000</v>
      </c>
      <c r="F27" s="244">
        <f>'Table D Year 1'!F27</f>
        <v>86.5</v>
      </c>
      <c r="G27" s="244"/>
      <c r="H27" s="244">
        <f>'1-Inch'!Y49</f>
        <v>115.96000000000001</v>
      </c>
      <c r="J27" s="244">
        <f t="shared" si="2"/>
        <v>29.460000000000008</v>
      </c>
      <c r="L27" s="596">
        <f t="shared" si="3"/>
        <v>0.34060000000000001</v>
      </c>
      <c r="M27" s="238"/>
    </row>
    <row r="28" spans="2:13" x14ac:dyDescent="0.4">
      <c r="B28" s="92"/>
      <c r="C28" s="198"/>
      <c r="D28" s="198"/>
      <c r="G28" s="244"/>
      <c r="M28" s="238"/>
    </row>
    <row r="29" spans="2:13" x14ac:dyDescent="0.4">
      <c r="B29" s="92"/>
      <c r="C29" s="198"/>
      <c r="D29" s="198"/>
      <c r="F29" s="570" t="s">
        <v>229</v>
      </c>
      <c r="H29" s="570" t="s">
        <v>721</v>
      </c>
      <c r="J29" s="257"/>
      <c r="L29" s="515"/>
      <c r="M29" s="238"/>
    </row>
    <row r="30" spans="2:13" x14ac:dyDescent="0.4">
      <c r="B30" s="92"/>
      <c r="C30" s="517" t="s">
        <v>350</v>
      </c>
      <c r="D30" s="517"/>
      <c r="F30" s="245" t="s">
        <v>230</v>
      </c>
      <c r="H30" s="245" t="s">
        <v>230</v>
      </c>
      <c r="J30" s="243" t="s">
        <v>231</v>
      </c>
      <c r="L30" s="516" t="s">
        <v>232</v>
      </c>
      <c r="M30" s="238"/>
    </row>
    <row r="31" spans="2:13" x14ac:dyDescent="0.4">
      <c r="B31" s="92"/>
      <c r="C31" s="197"/>
      <c r="D31" s="197">
        <v>5000</v>
      </c>
      <c r="F31" s="244">
        <f>'Table D Year 1'!F31</f>
        <v>69.11</v>
      </c>
      <c r="G31" s="244"/>
      <c r="H31" s="244">
        <f>'1.5-Inch'!W32</f>
        <v>92.71</v>
      </c>
      <c r="J31" s="244">
        <f t="shared" ref="J31:J36" si="4">H31-F31</f>
        <v>23.599999999999994</v>
      </c>
      <c r="L31" s="596">
        <f t="shared" ref="L31:L36" si="5">ROUND(J31/F31,4)</f>
        <v>0.34150000000000003</v>
      </c>
      <c r="M31" s="238"/>
    </row>
    <row r="32" spans="2:13" x14ac:dyDescent="0.4">
      <c r="B32" s="92"/>
      <c r="C32" s="197"/>
      <c r="D32" s="197">
        <v>10000</v>
      </c>
      <c r="F32" s="244">
        <f>'Table D Year 1'!F32</f>
        <v>69.11</v>
      </c>
      <c r="G32" s="244"/>
      <c r="H32" s="244">
        <f>'1.5-Inch'!W33</f>
        <v>92.71</v>
      </c>
      <c r="J32" s="244">
        <f t="shared" si="4"/>
        <v>23.599999999999994</v>
      </c>
      <c r="L32" s="596">
        <f t="shared" si="5"/>
        <v>0.34150000000000003</v>
      </c>
      <c r="M32" s="238"/>
    </row>
    <row r="33" spans="2:13" x14ac:dyDescent="0.4">
      <c r="B33" s="92"/>
      <c r="C33" s="197"/>
      <c r="D33" s="197">
        <v>15000</v>
      </c>
      <c r="F33" s="244">
        <f>'Table D Year 1'!F33</f>
        <v>95.31</v>
      </c>
      <c r="G33" s="244"/>
      <c r="H33" s="244">
        <f>'1.5-Inch'!W34</f>
        <v>127.81</v>
      </c>
      <c r="J33" s="244">
        <f t="shared" si="4"/>
        <v>32.5</v>
      </c>
      <c r="L33" s="596">
        <f t="shared" si="5"/>
        <v>0.34100000000000003</v>
      </c>
      <c r="M33" s="238"/>
    </row>
    <row r="34" spans="2:13" x14ac:dyDescent="0.4">
      <c r="B34" s="92"/>
      <c r="C34" s="197"/>
      <c r="D34" s="197">
        <v>20000</v>
      </c>
      <c r="F34" s="244">
        <f>'Table D Year 1'!F34</f>
        <v>121.50999999999999</v>
      </c>
      <c r="G34" s="244"/>
      <c r="H34" s="244">
        <f>'1.5-Inch'!W35</f>
        <v>162.91</v>
      </c>
      <c r="J34" s="244">
        <f t="shared" si="4"/>
        <v>41.400000000000006</v>
      </c>
      <c r="L34" s="596">
        <f t="shared" si="5"/>
        <v>0.3407</v>
      </c>
      <c r="M34" s="238"/>
    </row>
    <row r="35" spans="2:13" x14ac:dyDescent="0.4">
      <c r="B35" s="92"/>
      <c r="C35" s="197"/>
      <c r="D35" s="197">
        <v>25000</v>
      </c>
      <c r="F35" s="244">
        <f>'Table D Year 1'!F35</f>
        <v>147.70999999999998</v>
      </c>
      <c r="G35" s="244"/>
      <c r="H35" s="244">
        <f>'1.5-Inch'!W36</f>
        <v>198.01</v>
      </c>
      <c r="J35" s="244">
        <f t="shared" si="4"/>
        <v>50.300000000000011</v>
      </c>
      <c r="L35" s="596">
        <f t="shared" si="5"/>
        <v>0.34050000000000002</v>
      </c>
      <c r="M35" s="238"/>
    </row>
    <row r="36" spans="2:13" x14ac:dyDescent="0.4">
      <c r="B36" s="92"/>
      <c r="C36" s="197"/>
      <c r="D36" s="197">
        <v>30000</v>
      </c>
      <c r="F36" s="244">
        <f>'Table D Year 1'!F36</f>
        <v>173.91</v>
      </c>
      <c r="G36" s="244"/>
      <c r="H36" s="244">
        <f>'1.5-Inch'!W37</f>
        <v>233.11</v>
      </c>
      <c r="J36" s="244">
        <f t="shared" si="4"/>
        <v>59.200000000000017</v>
      </c>
      <c r="L36" s="596">
        <f t="shared" si="5"/>
        <v>0.34039999999999998</v>
      </c>
      <c r="M36" s="238"/>
    </row>
    <row r="37" spans="2:13" x14ac:dyDescent="0.4">
      <c r="B37" s="92"/>
      <c r="C37" s="197"/>
      <c r="D37" s="197"/>
      <c r="F37" s="244"/>
      <c r="G37" s="244"/>
      <c r="H37" s="244"/>
      <c r="J37" s="244"/>
      <c r="L37" s="596"/>
      <c r="M37" s="238"/>
    </row>
    <row r="38" spans="2:13" x14ac:dyDescent="0.4">
      <c r="B38" s="92"/>
      <c r="C38" s="198"/>
      <c r="D38" s="198"/>
      <c r="F38" s="570" t="s">
        <v>229</v>
      </c>
      <c r="H38" s="570" t="s">
        <v>721</v>
      </c>
      <c r="J38" s="257"/>
      <c r="L38" s="515"/>
      <c r="M38" s="238"/>
    </row>
    <row r="39" spans="2:13" x14ac:dyDescent="0.4">
      <c r="B39" s="92"/>
      <c r="C39" s="517" t="s">
        <v>336</v>
      </c>
      <c r="D39" s="517"/>
      <c r="F39" s="245" t="s">
        <v>230</v>
      </c>
      <c r="H39" s="245" t="s">
        <v>230</v>
      </c>
      <c r="J39" s="243" t="s">
        <v>231</v>
      </c>
      <c r="L39" s="516" t="s">
        <v>232</v>
      </c>
      <c r="M39" s="238"/>
    </row>
    <row r="40" spans="2:13" x14ac:dyDescent="0.4">
      <c r="B40" s="92"/>
      <c r="C40" s="197"/>
      <c r="D40" s="197">
        <v>30000</v>
      </c>
      <c r="F40" s="244">
        <f>'Table D Year 1'!F40</f>
        <v>174.8</v>
      </c>
      <c r="G40" s="244"/>
      <c r="H40" s="138">
        <f>'2-Inch'!W33</f>
        <v>234.37</v>
      </c>
      <c r="J40" s="244">
        <f t="shared" ref="J40:J45" si="6">H40-F40</f>
        <v>59.569999999999993</v>
      </c>
      <c r="L40" s="596">
        <f t="shared" ref="L40:L45" si="7">ROUND(J40/F40,4)</f>
        <v>0.34079999999999999</v>
      </c>
      <c r="M40" s="238"/>
    </row>
    <row r="41" spans="2:13" x14ac:dyDescent="0.4">
      <c r="B41" s="92"/>
      <c r="C41" s="197"/>
      <c r="D41" s="197">
        <v>60000</v>
      </c>
      <c r="F41" s="244">
        <f>'Table D Year 1'!F41</f>
        <v>324.70000000000005</v>
      </c>
      <c r="G41" s="244"/>
      <c r="H41" s="138">
        <f>'2-Inch'!W34</f>
        <v>435.16999999999996</v>
      </c>
      <c r="J41" s="244">
        <f t="shared" si="6"/>
        <v>110.46999999999991</v>
      </c>
      <c r="L41" s="596">
        <f t="shared" si="7"/>
        <v>0.3402</v>
      </c>
      <c r="M41" s="238"/>
    </row>
    <row r="42" spans="2:13" x14ac:dyDescent="0.4">
      <c r="B42" s="92"/>
      <c r="C42" s="197"/>
      <c r="D42" s="197">
        <v>80000</v>
      </c>
      <c r="F42" s="244">
        <f>'Table D Year 1'!F42</f>
        <v>414.90000000000003</v>
      </c>
      <c r="G42" s="244"/>
      <c r="H42" s="138">
        <f>'2-Inch'!W35</f>
        <v>555.97</v>
      </c>
      <c r="J42" s="244">
        <f t="shared" si="6"/>
        <v>141.07</v>
      </c>
      <c r="L42" s="596">
        <f t="shared" si="7"/>
        <v>0.34</v>
      </c>
      <c r="M42" s="238"/>
    </row>
    <row r="43" spans="2:13" x14ac:dyDescent="0.4">
      <c r="B43" s="92"/>
      <c r="C43" s="197"/>
      <c r="D43" s="197">
        <v>100000</v>
      </c>
      <c r="F43" s="244">
        <f>'Table D Year 1'!F43</f>
        <v>505.1</v>
      </c>
      <c r="G43" s="244"/>
      <c r="H43" s="138">
        <f>'2-Inch'!W36</f>
        <v>676.77</v>
      </c>
      <c r="J43" s="244">
        <f t="shared" si="6"/>
        <v>171.66999999999996</v>
      </c>
      <c r="L43" s="596">
        <f t="shared" si="7"/>
        <v>0.33989999999999998</v>
      </c>
      <c r="M43" s="238"/>
    </row>
    <row r="44" spans="2:13" x14ac:dyDescent="0.4">
      <c r="B44" s="92"/>
      <c r="C44" s="197"/>
      <c r="D44" s="197">
        <v>120000</v>
      </c>
      <c r="F44" s="244">
        <f>'Table D Year 1'!F44</f>
        <v>580.30000000000007</v>
      </c>
      <c r="G44" s="244"/>
      <c r="H44" s="138">
        <f>'2-Inch'!W37</f>
        <v>777.37</v>
      </c>
      <c r="J44" s="244">
        <f t="shared" si="6"/>
        <v>197.06999999999994</v>
      </c>
      <c r="L44" s="596">
        <f t="shared" si="7"/>
        <v>0.33960000000000001</v>
      </c>
      <c r="M44" s="238"/>
    </row>
    <row r="45" spans="2:13" x14ac:dyDescent="0.4">
      <c r="B45" s="92"/>
      <c r="C45" s="197"/>
      <c r="D45" s="197">
        <v>140000</v>
      </c>
      <c r="F45" s="244">
        <f>'Table D Year 1'!F45</f>
        <v>655.5</v>
      </c>
      <c r="G45" s="244"/>
      <c r="H45" s="138">
        <f>'2-Inch'!W38</f>
        <v>877.97</v>
      </c>
      <c r="J45" s="244">
        <f t="shared" si="6"/>
        <v>222.47000000000003</v>
      </c>
      <c r="L45" s="596">
        <f t="shared" si="7"/>
        <v>0.33939999999999998</v>
      </c>
      <c r="M45" s="238"/>
    </row>
    <row r="46" spans="2:13" x14ac:dyDescent="0.4">
      <c r="B46" s="92"/>
      <c r="C46" s="197"/>
      <c r="D46" s="197"/>
      <c r="G46" s="244"/>
      <c r="J46" s="244"/>
      <c r="L46" s="596"/>
      <c r="M46" s="238"/>
    </row>
    <row r="47" spans="2:13" x14ac:dyDescent="0.4">
      <c r="B47" s="92"/>
      <c r="C47" s="116"/>
      <c r="D47" s="116"/>
      <c r="F47" s="570" t="s">
        <v>229</v>
      </c>
      <c r="H47" s="570" t="s">
        <v>721</v>
      </c>
      <c r="J47" s="257"/>
      <c r="L47" s="515"/>
      <c r="M47" s="238"/>
    </row>
    <row r="48" spans="2:13" x14ac:dyDescent="0.4">
      <c r="B48" s="92"/>
      <c r="C48" s="517" t="s">
        <v>338</v>
      </c>
      <c r="D48" s="517"/>
      <c r="F48" s="245" t="s">
        <v>230</v>
      </c>
      <c r="H48" s="245" t="s">
        <v>230</v>
      </c>
      <c r="J48" s="243" t="s">
        <v>231</v>
      </c>
      <c r="L48" s="516" t="s">
        <v>232</v>
      </c>
      <c r="M48" s="238"/>
    </row>
    <row r="49" spans="2:13" x14ac:dyDescent="0.4">
      <c r="B49" s="92"/>
      <c r="C49" s="197"/>
      <c r="D49" s="197">
        <v>60000</v>
      </c>
      <c r="F49" s="244">
        <f>'Table D Year 1'!F49</f>
        <v>377.71000000000004</v>
      </c>
      <c r="G49" s="244"/>
      <c r="H49" s="138">
        <f>'4-Inch'!W28</f>
        <v>506.43999999999994</v>
      </c>
      <c r="J49" s="244">
        <f t="shared" ref="J49:J53" si="8">H49-F49</f>
        <v>128.7299999999999</v>
      </c>
      <c r="L49" s="596">
        <f t="shared" ref="L49:L53" si="9">ROUND(J49/F49,4)</f>
        <v>0.34079999999999999</v>
      </c>
      <c r="M49" s="238"/>
    </row>
    <row r="50" spans="2:13" x14ac:dyDescent="0.4">
      <c r="B50" s="92"/>
      <c r="C50" s="197"/>
      <c r="D50" s="197">
        <v>80000</v>
      </c>
      <c r="F50" s="244">
        <f>'Table D Year 1'!F50</f>
        <v>467.91</v>
      </c>
      <c r="G50" s="244"/>
      <c r="H50" s="138">
        <f>'4-Inch'!W29</f>
        <v>627.24</v>
      </c>
      <c r="J50" s="244">
        <f t="shared" si="8"/>
        <v>159.32999999999998</v>
      </c>
      <c r="L50" s="596">
        <f t="shared" si="9"/>
        <v>0.34050000000000002</v>
      </c>
      <c r="M50" s="238"/>
    </row>
    <row r="51" spans="2:13" x14ac:dyDescent="0.4">
      <c r="B51" s="92"/>
      <c r="C51" s="197"/>
      <c r="D51" s="197">
        <v>100000</v>
      </c>
      <c r="F51" s="244">
        <f>'Table D Year 1'!F51</f>
        <v>558.11</v>
      </c>
      <c r="G51" s="244"/>
      <c r="H51" s="138">
        <f>'4-Inch'!W30</f>
        <v>748.04</v>
      </c>
      <c r="J51" s="244">
        <f t="shared" si="8"/>
        <v>189.92999999999995</v>
      </c>
      <c r="L51" s="596">
        <f t="shared" si="9"/>
        <v>0.34029999999999999</v>
      </c>
      <c r="M51" s="238"/>
    </row>
    <row r="52" spans="2:13" x14ac:dyDescent="0.4">
      <c r="B52" s="92"/>
      <c r="C52" s="197"/>
      <c r="D52" s="197">
        <v>120000</v>
      </c>
      <c r="F52" s="244">
        <f>'Table D Year 1'!F52</f>
        <v>633.31000000000006</v>
      </c>
      <c r="G52" s="244"/>
      <c r="H52" s="138">
        <f>'4-Inch'!W31</f>
        <v>848.64</v>
      </c>
      <c r="J52" s="244">
        <f t="shared" si="8"/>
        <v>215.32999999999993</v>
      </c>
      <c r="L52" s="596">
        <f t="shared" si="9"/>
        <v>0.34</v>
      </c>
      <c r="M52" s="238"/>
    </row>
    <row r="53" spans="2:13" x14ac:dyDescent="0.4">
      <c r="B53" s="92"/>
      <c r="C53" s="197"/>
      <c r="D53" s="197">
        <v>140000</v>
      </c>
      <c r="F53" s="244">
        <f>'Table D Year 1'!F53</f>
        <v>708.51</v>
      </c>
      <c r="G53" s="244"/>
      <c r="H53" s="138">
        <f>'4-Inch'!W32</f>
        <v>949.24</v>
      </c>
      <c r="J53" s="244">
        <f t="shared" si="8"/>
        <v>240.73000000000002</v>
      </c>
      <c r="L53" s="596">
        <f t="shared" si="9"/>
        <v>0.33979999999999999</v>
      </c>
      <c r="M53" s="238"/>
    </row>
    <row r="54" spans="2:13" x14ac:dyDescent="0.4">
      <c r="B54" s="92"/>
      <c r="C54" s="197"/>
      <c r="D54" s="197"/>
      <c r="G54" s="244"/>
      <c r="J54" s="244"/>
      <c r="L54" s="596"/>
      <c r="M54" s="238"/>
    </row>
    <row r="55" spans="2:13" x14ac:dyDescent="0.4">
      <c r="B55" s="92"/>
      <c r="C55" s="197"/>
      <c r="D55" s="197"/>
      <c r="F55" s="570" t="s">
        <v>229</v>
      </c>
      <c r="H55" s="570" t="s">
        <v>721</v>
      </c>
      <c r="J55" s="257"/>
      <c r="L55" s="515"/>
      <c r="M55" s="238"/>
    </row>
    <row r="56" spans="2:13" x14ac:dyDescent="0.4">
      <c r="B56" s="92"/>
      <c r="C56" s="517" t="s">
        <v>339</v>
      </c>
      <c r="D56" s="517"/>
      <c r="F56" s="245" t="s">
        <v>230</v>
      </c>
      <c r="H56" s="245" t="s">
        <v>230</v>
      </c>
      <c r="J56" s="243" t="s">
        <v>231</v>
      </c>
      <c r="L56" s="516" t="s">
        <v>232</v>
      </c>
      <c r="M56" s="238"/>
    </row>
    <row r="57" spans="2:13" x14ac:dyDescent="0.4">
      <c r="B57" s="92"/>
      <c r="C57" s="197"/>
      <c r="D57" s="197">
        <v>120000</v>
      </c>
      <c r="F57" s="244">
        <f>'Table D Year 1'!F57</f>
        <v>760.31000000000006</v>
      </c>
      <c r="G57" s="244"/>
      <c r="H57" s="138">
        <f>'6-Inch'!U30</f>
        <v>1019.36</v>
      </c>
      <c r="J57" s="244">
        <f t="shared" ref="J57:J61" si="10">H57-F57</f>
        <v>259.04999999999995</v>
      </c>
      <c r="L57" s="596">
        <f t="shared" ref="L57:L61" si="11">ROUND(J57/F57,4)</f>
        <v>0.3407</v>
      </c>
      <c r="M57" s="238"/>
    </row>
    <row r="58" spans="2:13" x14ac:dyDescent="0.4">
      <c r="B58" s="92"/>
      <c r="C58" s="197"/>
      <c r="D58" s="197">
        <v>140000</v>
      </c>
      <c r="F58" s="244">
        <f>'Table D Year 1'!F58</f>
        <v>835.51</v>
      </c>
      <c r="G58" s="244"/>
      <c r="H58" s="138">
        <f>'6-Inch'!U31</f>
        <v>1119.96</v>
      </c>
      <c r="J58" s="244">
        <f t="shared" si="10"/>
        <v>284.45000000000005</v>
      </c>
      <c r="L58" s="596">
        <f t="shared" si="11"/>
        <v>0.34050000000000002</v>
      </c>
      <c r="M58" s="238"/>
    </row>
    <row r="59" spans="2:13" x14ac:dyDescent="0.4">
      <c r="B59" s="92"/>
      <c r="C59" s="197"/>
      <c r="D59" s="197">
        <v>160000</v>
      </c>
      <c r="F59" s="244">
        <f>'Table D Year 1'!F59</f>
        <v>910.71</v>
      </c>
      <c r="G59" s="244"/>
      <c r="H59" s="138">
        <f>'6-Inch'!U32</f>
        <v>1220.56</v>
      </c>
      <c r="J59" s="244">
        <f t="shared" si="10"/>
        <v>309.84999999999991</v>
      </c>
      <c r="L59" s="596">
        <f t="shared" si="11"/>
        <v>0.3402</v>
      </c>
      <c r="M59" s="238"/>
    </row>
    <row r="60" spans="2:13" x14ac:dyDescent="0.4">
      <c r="B60" s="92"/>
      <c r="C60" s="197"/>
      <c r="D60" s="197">
        <v>180000</v>
      </c>
      <c r="F60" s="244">
        <f>'Table D Year 1'!F60</f>
        <v>985.91000000000008</v>
      </c>
      <c r="G60" s="244"/>
      <c r="H60" s="138">
        <f>'6-Inch'!U33</f>
        <v>1321.16</v>
      </c>
      <c r="J60" s="244">
        <f t="shared" si="10"/>
        <v>335.25</v>
      </c>
      <c r="L60" s="596">
        <f t="shared" si="11"/>
        <v>0.34</v>
      </c>
      <c r="M60" s="238"/>
    </row>
    <row r="61" spans="2:13" x14ac:dyDescent="0.4">
      <c r="B61" s="92"/>
      <c r="C61" s="197"/>
      <c r="D61" s="197">
        <v>200000</v>
      </c>
      <c r="F61" s="244">
        <f>'Table D Year 1'!F61</f>
        <v>1061.1100000000001</v>
      </c>
      <c r="G61" s="244"/>
      <c r="H61" s="138">
        <f>'6-Inch'!U34</f>
        <v>1421.76</v>
      </c>
      <c r="J61" s="244">
        <f t="shared" si="10"/>
        <v>360.64999999999986</v>
      </c>
      <c r="L61" s="596">
        <f t="shared" si="11"/>
        <v>0.33989999999999998</v>
      </c>
      <c r="M61" s="238"/>
    </row>
    <row r="62" spans="2:13" x14ac:dyDescent="0.4">
      <c r="B62" s="92"/>
      <c r="C62" s="197"/>
      <c r="D62" s="197"/>
      <c r="G62" s="244"/>
      <c r="J62" s="244"/>
      <c r="L62" s="596"/>
      <c r="M62" s="238"/>
    </row>
    <row r="63" spans="2:13" x14ac:dyDescent="0.4">
      <c r="B63" s="92"/>
      <c r="C63" s="517"/>
      <c r="D63" s="517"/>
      <c r="F63" s="570" t="s">
        <v>229</v>
      </c>
      <c r="H63" s="570" t="s">
        <v>721</v>
      </c>
      <c r="J63" s="257"/>
      <c r="L63" s="515"/>
      <c r="M63" s="238"/>
    </row>
    <row r="64" spans="2:13" x14ac:dyDescent="0.4">
      <c r="B64" s="92"/>
      <c r="C64" s="592" t="s">
        <v>460</v>
      </c>
      <c r="D64" s="592"/>
      <c r="F64" s="245" t="s">
        <v>230</v>
      </c>
      <c r="H64" s="245" t="s">
        <v>230</v>
      </c>
      <c r="J64" s="243" t="s">
        <v>231</v>
      </c>
      <c r="L64" s="516" t="s">
        <v>232</v>
      </c>
      <c r="M64" s="238"/>
    </row>
    <row r="65" spans="2:13" x14ac:dyDescent="0.4">
      <c r="B65" s="92"/>
      <c r="F65" s="571"/>
      <c r="H65" s="571"/>
      <c r="J65" s="230"/>
      <c r="L65" s="585"/>
      <c r="M65" s="238"/>
    </row>
    <row r="66" spans="2:13" x14ac:dyDescent="0.4">
      <c r="B66" s="92"/>
      <c r="C66" s="588" t="s">
        <v>716</v>
      </c>
      <c r="D66" s="588"/>
      <c r="F66" s="244">
        <f>'Table D Year 1'!F66</f>
        <v>17.53</v>
      </c>
      <c r="H66" s="571">
        <f>'YR 2 Rate Comp'!L59</f>
        <v>23.525000000000002</v>
      </c>
      <c r="J66" s="244">
        <f t="shared" ref="J66:J73" si="12">H66-F66</f>
        <v>5.995000000000001</v>
      </c>
      <c r="L66" s="596">
        <f t="shared" ref="L66:L70" si="13">ROUND(J66/F66,4)</f>
        <v>0.34200000000000003</v>
      </c>
      <c r="M66" s="238"/>
    </row>
    <row r="67" spans="2:13" x14ac:dyDescent="0.4">
      <c r="B67" s="92"/>
      <c r="C67" s="588" t="s">
        <v>717</v>
      </c>
      <c r="D67" s="588"/>
      <c r="F67" s="244">
        <f>'Table D Year 1'!F67</f>
        <v>26.2</v>
      </c>
      <c r="H67" s="571">
        <f>'YR 2 Rate Comp'!L60</f>
        <v>35.155999999999999</v>
      </c>
      <c r="J67" s="244">
        <f t="shared" si="12"/>
        <v>8.9559999999999995</v>
      </c>
      <c r="L67" s="596">
        <f t="shared" si="13"/>
        <v>0.34179999999999999</v>
      </c>
      <c r="M67" s="238"/>
    </row>
    <row r="68" spans="2:13" x14ac:dyDescent="0.4">
      <c r="B68" s="92"/>
      <c r="C68" s="588" t="s">
        <v>357</v>
      </c>
      <c r="D68" s="588"/>
      <c r="F68" s="244">
        <f>'Table D Year 1'!F68</f>
        <v>68.05</v>
      </c>
      <c r="H68" s="571">
        <f>'YR 2 Rate Comp'!L61</f>
        <v>91.324000000000012</v>
      </c>
      <c r="J68" s="244">
        <f t="shared" si="12"/>
        <v>23.274000000000015</v>
      </c>
      <c r="L68" s="596">
        <f t="shared" si="13"/>
        <v>0.34200000000000003</v>
      </c>
      <c r="M68" s="238"/>
    </row>
    <row r="69" spans="2:13" x14ac:dyDescent="0.4">
      <c r="B69" s="92"/>
      <c r="C69" s="588" t="s">
        <v>345</v>
      </c>
      <c r="D69" s="588"/>
      <c r="F69" s="244">
        <f>'Table D Year 1'!F69</f>
        <v>147.91999999999999</v>
      </c>
      <c r="H69" s="571">
        <f>'YR 2 Rate Comp'!L62</f>
        <v>198.511</v>
      </c>
      <c r="J69" s="244">
        <f t="shared" si="12"/>
        <v>50.591000000000008</v>
      </c>
      <c r="L69" s="596">
        <f t="shared" si="13"/>
        <v>0.34200000000000003</v>
      </c>
      <c r="M69" s="238"/>
    </row>
    <row r="70" spans="2:13" x14ac:dyDescent="0.4">
      <c r="B70" s="92"/>
      <c r="C70" s="588" t="s">
        <v>346</v>
      </c>
      <c r="D70" s="588"/>
      <c r="F70" s="244">
        <f>'Table D Year 1'!F70</f>
        <v>340.77</v>
      </c>
      <c r="H70" s="571">
        <f>'YR 2 Rate Comp'!L63</f>
        <v>457.30899999999997</v>
      </c>
      <c r="J70" s="244">
        <f t="shared" si="12"/>
        <v>116.53899999999999</v>
      </c>
      <c r="L70" s="596">
        <f t="shared" si="13"/>
        <v>0.34200000000000003</v>
      </c>
      <c r="M70" s="238"/>
    </row>
    <row r="71" spans="2:13" x14ac:dyDescent="0.4">
      <c r="B71" s="92"/>
      <c r="C71" s="588" t="s">
        <v>710</v>
      </c>
      <c r="D71" s="588"/>
      <c r="F71" s="244">
        <f>'Table D Year 1'!F71</f>
        <v>658.17</v>
      </c>
      <c r="H71" s="571">
        <f>'YR 2 Rate Comp'!L64</f>
        <v>883.2589999999999</v>
      </c>
      <c r="J71" s="244">
        <f t="shared" si="12"/>
        <v>225.08899999999994</v>
      </c>
      <c r="L71" s="596">
        <f>ROUND(J71/F71,4)</f>
        <v>0.34200000000000003</v>
      </c>
      <c r="M71" s="238"/>
    </row>
    <row r="72" spans="2:13" x14ac:dyDescent="0.4">
      <c r="B72" s="92"/>
      <c r="C72" s="588" t="s">
        <v>718</v>
      </c>
      <c r="D72" s="588"/>
      <c r="F72" s="244">
        <f>'Table D Year 1'!F72</f>
        <v>1139.7</v>
      </c>
      <c r="H72" s="571">
        <f>'YR 2 Rate Comp'!L65</f>
        <v>1529.4670000000001</v>
      </c>
      <c r="J72" s="244">
        <f t="shared" si="12"/>
        <v>389.76700000000005</v>
      </c>
      <c r="L72" s="596">
        <f>ROUND(J72/F72,4)</f>
        <v>0.34200000000000003</v>
      </c>
      <c r="M72" s="238"/>
    </row>
    <row r="73" spans="2:13" x14ac:dyDescent="0.4">
      <c r="B73" s="92"/>
      <c r="C73" s="588" t="s">
        <v>719</v>
      </c>
      <c r="D73" s="588"/>
      <c r="F73" s="244">
        <f>'Table D Year 1'!F73</f>
        <v>1799.31</v>
      </c>
      <c r="H73" s="571">
        <f>'YR 2 Rate Comp'!L66</f>
        <v>2414.6530000000002</v>
      </c>
      <c r="J73" s="244">
        <f t="shared" si="12"/>
        <v>615.3430000000003</v>
      </c>
      <c r="L73" s="596">
        <f>ROUND(J73/F73,4)</f>
        <v>0.34200000000000003</v>
      </c>
      <c r="M73" s="238"/>
    </row>
    <row r="74" spans="2:13" x14ac:dyDescent="0.4">
      <c r="B74" s="248"/>
      <c r="C74" s="136"/>
      <c r="D74" s="136"/>
      <c r="E74" s="136"/>
      <c r="F74" s="136"/>
      <c r="G74" s="136"/>
      <c r="H74" s="136"/>
      <c r="I74" s="136"/>
      <c r="J74" s="136"/>
      <c r="K74" s="136"/>
      <c r="L74" s="598"/>
      <c r="M74" s="249"/>
    </row>
  </sheetData>
  <mergeCells count="3">
    <mergeCell ref="C4:L4"/>
    <mergeCell ref="C5:L5"/>
    <mergeCell ref="C6:L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B604-4106-4B13-814A-5E7EB57B70E3}">
  <dimension ref="B4:AC81"/>
  <sheetViews>
    <sheetView workbookViewId="0">
      <selection sqref="A1:XFD1048576"/>
    </sheetView>
  </sheetViews>
  <sheetFormatPr defaultRowHeight="15" x14ac:dyDescent="0.4"/>
  <cols>
    <col min="2" max="2" width="1.77734375" customWidth="1"/>
    <col min="4" max="4" width="2.77734375" customWidth="1"/>
    <col min="5" max="5" width="10.77734375" style="244" customWidth="1"/>
    <col min="6" max="6" width="2.77734375" customWidth="1"/>
    <col min="7" max="7" width="10.77734375" style="244" customWidth="1"/>
    <col min="8" max="8" width="2.77734375" customWidth="1"/>
    <col min="9" max="9" width="10.77734375" customWidth="1"/>
    <col min="10" max="10" width="2.77734375" customWidth="1"/>
    <col min="11" max="11" width="10.77734375" customWidth="1"/>
    <col min="12" max="12" width="2.77734375" customWidth="1"/>
    <col min="13" max="13" width="10.77734375" customWidth="1"/>
    <col min="14" max="14" width="1.77734375" customWidth="1"/>
    <col min="15" max="15" width="10.77734375" customWidth="1"/>
    <col min="16" max="16" width="1.77734375" customWidth="1"/>
    <col min="17" max="17" width="10.77734375" customWidth="1"/>
    <col min="18" max="18" width="1.77734375" customWidth="1"/>
    <col min="19" max="19" width="10.77734375" customWidth="1"/>
    <col min="20" max="20" width="1.77734375" customWidth="1"/>
    <col min="21" max="21" width="10.77734375" customWidth="1"/>
    <col min="22" max="22" width="1.77734375" customWidth="1"/>
    <col min="23" max="23" width="10.77734375" customWidth="1"/>
    <col min="24" max="24" width="1.77734375" customWidth="1"/>
    <col min="25" max="25" width="10.77734375" customWidth="1"/>
    <col min="26" max="26" width="1.77734375" customWidth="1"/>
    <col min="27" max="27" width="10.77734375" customWidth="1"/>
    <col min="28" max="29" width="1.77734375" customWidth="1"/>
  </cols>
  <sheetData>
    <row r="4" spans="2:29" x14ac:dyDescent="0.4">
      <c r="B4" s="246"/>
      <c r="C4" s="254"/>
      <c r="D4" s="681"/>
      <c r="E4" s="681"/>
      <c r="F4" s="681"/>
      <c r="G4" s="681"/>
      <c r="H4" s="681"/>
      <c r="I4" s="681"/>
      <c r="J4" s="681"/>
      <c r="K4" s="681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47"/>
    </row>
    <row r="5" spans="2:29" ht="17.25" x14ac:dyDescent="0.45">
      <c r="B5" s="92"/>
      <c r="C5" s="593" t="s">
        <v>233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C5" s="238"/>
    </row>
    <row r="6" spans="2:29" ht="17.25" x14ac:dyDescent="0.45">
      <c r="B6" s="92"/>
      <c r="C6" s="593" t="s">
        <v>234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C6" s="238"/>
    </row>
    <row r="7" spans="2:29" ht="17.25" x14ac:dyDescent="0.45">
      <c r="B7" s="92"/>
      <c r="C7" s="593" t="str">
        <f>Adj!B1</f>
        <v>Butler County Water System, Inc.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C7" s="238"/>
    </row>
    <row r="8" spans="2:29" ht="22.15" x14ac:dyDescent="0.55000000000000004">
      <c r="B8" s="92"/>
      <c r="C8" s="568"/>
      <c r="D8" s="568"/>
      <c r="E8" s="569"/>
      <c r="F8" s="568"/>
      <c r="G8" s="570"/>
      <c r="H8" s="568"/>
      <c r="I8" s="568"/>
      <c r="J8" s="568"/>
      <c r="K8" s="568"/>
      <c r="AC8" s="238"/>
    </row>
    <row r="9" spans="2:29" x14ac:dyDescent="0.4">
      <c r="B9" s="92"/>
      <c r="E9" s="571" t="s">
        <v>229</v>
      </c>
      <c r="G9" s="570" t="s">
        <v>698</v>
      </c>
      <c r="I9" s="257"/>
      <c r="K9" s="515"/>
      <c r="M9" s="570" t="s">
        <v>698</v>
      </c>
      <c r="O9" s="570" t="s">
        <v>699</v>
      </c>
      <c r="Q9" s="257"/>
      <c r="S9" s="515"/>
      <c r="U9" s="571" t="s">
        <v>229</v>
      </c>
      <c r="W9" s="570" t="s">
        <v>57</v>
      </c>
      <c r="Y9" s="257"/>
      <c r="AA9" s="515"/>
      <c r="AC9" s="238"/>
    </row>
    <row r="10" spans="2:29" x14ac:dyDescent="0.4">
      <c r="B10" s="92"/>
      <c r="E10" s="245" t="s">
        <v>230</v>
      </c>
      <c r="G10" s="245" t="s">
        <v>230</v>
      </c>
      <c r="I10" s="243" t="s">
        <v>231</v>
      </c>
      <c r="K10" s="516" t="s">
        <v>232</v>
      </c>
      <c r="M10" s="245" t="s">
        <v>230</v>
      </c>
      <c r="O10" s="245" t="s">
        <v>230</v>
      </c>
      <c r="Q10" s="243" t="s">
        <v>231</v>
      </c>
      <c r="S10" s="516" t="s">
        <v>232</v>
      </c>
      <c r="U10" s="245" t="s">
        <v>230</v>
      </c>
      <c r="W10" s="245" t="s">
        <v>230</v>
      </c>
      <c r="Y10" s="243" t="s">
        <v>231</v>
      </c>
      <c r="AA10" s="516" t="s">
        <v>232</v>
      </c>
      <c r="AC10" s="238"/>
    </row>
    <row r="11" spans="2:29" x14ac:dyDescent="0.4">
      <c r="B11" s="92"/>
      <c r="C11" s="517" t="s">
        <v>333</v>
      </c>
      <c r="AC11" s="238"/>
    </row>
    <row r="12" spans="2:29" x14ac:dyDescent="0.4">
      <c r="B12" s="92"/>
      <c r="C12" s="198">
        <v>2000</v>
      </c>
      <c r="E12" s="244">
        <f>'5-8-Inch'!R16</f>
        <v>20.38</v>
      </c>
      <c r="G12" s="244">
        <f>'5-8-Inch'!Z16</f>
        <v>23.83</v>
      </c>
      <c r="I12" s="244">
        <f>G12-E12</f>
        <v>3.4499999999999993</v>
      </c>
      <c r="K12" s="518">
        <f>ROUND(I12/E12,4)</f>
        <v>0.16930000000000001</v>
      </c>
      <c r="M12" s="244">
        <f>G12</f>
        <v>23.83</v>
      </c>
      <c r="N12" s="244"/>
      <c r="O12" s="244">
        <f>'5-8-Inch'!Z42</f>
        <v>27.33</v>
      </c>
      <c r="Q12" s="244">
        <f>O12-M12</f>
        <v>3.5</v>
      </c>
      <c r="S12" s="518">
        <f>ROUND(Q12/M12,4)</f>
        <v>0.1469</v>
      </c>
      <c r="U12" s="244">
        <f>E12</f>
        <v>20.38</v>
      </c>
      <c r="W12" s="244">
        <f>O12</f>
        <v>27.33</v>
      </c>
      <c r="Y12" s="244">
        <f>W12-U12</f>
        <v>6.9499999999999993</v>
      </c>
      <c r="AA12" s="518">
        <f>ROUND(Y12/U12,4)</f>
        <v>0.34100000000000003</v>
      </c>
      <c r="AC12" s="238"/>
    </row>
    <row r="13" spans="2:29" x14ac:dyDescent="0.4">
      <c r="B13" s="92"/>
      <c r="C13" s="198">
        <v>4000</v>
      </c>
      <c r="E13" s="244">
        <f>'5-8-Inch'!R17</f>
        <v>32.18</v>
      </c>
      <c r="G13" s="244">
        <f>'5-8-Inch'!Z17</f>
        <v>37.61</v>
      </c>
      <c r="I13" s="244">
        <f t="shared" ref="I13:I21" si="0">G13-E13</f>
        <v>5.43</v>
      </c>
      <c r="K13" s="518">
        <f t="shared" ref="K13:K20" si="1">ROUND(I13/E13,4)</f>
        <v>0.16869999999999999</v>
      </c>
      <c r="M13" s="244">
        <f t="shared" ref="M13:M21" si="2">G13</f>
        <v>37.61</v>
      </c>
      <c r="N13" s="244"/>
      <c r="O13" s="244">
        <f>'5-8-Inch'!Z43</f>
        <v>43.15</v>
      </c>
      <c r="Q13" s="244">
        <f t="shared" ref="Q13:Q21" si="3">O13-M13</f>
        <v>5.5399999999999991</v>
      </c>
      <c r="S13" s="518">
        <f t="shared" ref="S13:S20" si="4">ROUND(Q13/M13,4)</f>
        <v>0.14729999999999999</v>
      </c>
      <c r="U13" s="244">
        <f t="shared" ref="U13:U21" si="5">E13</f>
        <v>32.18</v>
      </c>
      <c r="W13" s="244">
        <f t="shared" ref="W13:W21" si="6">O13</f>
        <v>43.15</v>
      </c>
      <c r="Y13" s="244">
        <f t="shared" ref="Y13:Y21" si="7">W13-U13</f>
        <v>10.969999999999999</v>
      </c>
      <c r="AA13" s="518">
        <f t="shared" ref="AA13:AA20" si="8">ROUND(Y13/U13,4)</f>
        <v>0.34089999999999998</v>
      </c>
      <c r="AC13" s="238"/>
    </row>
    <row r="14" spans="2:29" x14ac:dyDescent="0.4">
      <c r="B14" s="92"/>
      <c r="C14" s="198">
        <v>6000</v>
      </c>
      <c r="E14" s="244">
        <f>'5-8-Inch'!R18</f>
        <v>43.98</v>
      </c>
      <c r="G14" s="244">
        <f>'5-8-Inch'!Z18</f>
        <v>51.39</v>
      </c>
      <c r="I14" s="244">
        <f t="shared" si="0"/>
        <v>7.4100000000000037</v>
      </c>
      <c r="K14" s="518">
        <f t="shared" si="1"/>
        <v>0.16850000000000001</v>
      </c>
      <c r="M14" s="244">
        <f t="shared" si="2"/>
        <v>51.39</v>
      </c>
      <c r="N14" s="244"/>
      <c r="O14" s="244">
        <f>'5-8-Inch'!Z44</f>
        <v>58.97</v>
      </c>
      <c r="Q14" s="244">
        <f t="shared" si="3"/>
        <v>7.5799999999999983</v>
      </c>
      <c r="S14" s="518">
        <f t="shared" si="4"/>
        <v>0.14749999999999999</v>
      </c>
      <c r="U14" s="244">
        <f t="shared" si="5"/>
        <v>43.98</v>
      </c>
      <c r="W14" s="244">
        <f t="shared" si="6"/>
        <v>58.97</v>
      </c>
      <c r="Y14" s="244">
        <f t="shared" si="7"/>
        <v>14.990000000000002</v>
      </c>
      <c r="AA14" s="518">
        <f t="shared" si="8"/>
        <v>0.34079999999999999</v>
      </c>
      <c r="AC14" s="238"/>
    </row>
    <row r="15" spans="2:29" x14ac:dyDescent="0.4">
      <c r="B15" s="92"/>
      <c r="C15" s="198">
        <v>8000</v>
      </c>
      <c r="E15" s="244">
        <f>'5-8-Inch'!R19</f>
        <v>54.459999999999994</v>
      </c>
      <c r="G15" s="244">
        <f>'5-8-Inch'!Z19</f>
        <v>63.63</v>
      </c>
      <c r="I15" s="244">
        <f t="shared" si="0"/>
        <v>9.1700000000000088</v>
      </c>
      <c r="K15" s="518">
        <f t="shared" si="1"/>
        <v>0.16839999999999999</v>
      </c>
      <c r="M15" s="244">
        <f t="shared" si="2"/>
        <v>63.63</v>
      </c>
      <c r="N15" s="244"/>
      <c r="O15" s="244">
        <f>'5-8-Inch'!Z45</f>
        <v>73.010000000000005</v>
      </c>
      <c r="Q15" s="244">
        <f t="shared" si="3"/>
        <v>9.3800000000000026</v>
      </c>
      <c r="S15" s="518">
        <f t="shared" si="4"/>
        <v>0.1474</v>
      </c>
      <c r="U15" s="244">
        <f t="shared" si="5"/>
        <v>54.459999999999994</v>
      </c>
      <c r="W15" s="244">
        <f t="shared" si="6"/>
        <v>73.010000000000005</v>
      </c>
      <c r="Y15" s="244">
        <f t="shared" si="7"/>
        <v>18.550000000000011</v>
      </c>
      <c r="AA15" s="518">
        <f t="shared" si="8"/>
        <v>0.34060000000000001</v>
      </c>
      <c r="AC15" s="238"/>
    </row>
    <row r="16" spans="2:29" x14ac:dyDescent="0.4">
      <c r="B16" s="92"/>
      <c r="C16" s="198">
        <v>10000</v>
      </c>
      <c r="E16" s="244">
        <f>'5-8-Inch'!R20</f>
        <v>64.94</v>
      </c>
      <c r="G16" s="244">
        <f>'5-8-Inch'!Z20</f>
        <v>75.87</v>
      </c>
      <c r="I16" s="244">
        <f t="shared" si="0"/>
        <v>10.930000000000007</v>
      </c>
      <c r="K16" s="518">
        <f t="shared" si="1"/>
        <v>0.16830000000000001</v>
      </c>
      <c r="M16" s="244">
        <f t="shared" si="2"/>
        <v>75.87</v>
      </c>
      <c r="N16" s="244"/>
      <c r="O16" s="244">
        <f>'5-8-Inch'!Z46</f>
        <v>87.05</v>
      </c>
      <c r="Q16" s="244">
        <f t="shared" si="3"/>
        <v>11.179999999999993</v>
      </c>
      <c r="S16" s="518">
        <f t="shared" si="4"/>
        <v>0.1474</v>
      </c>
      <c r="U16" s="244">
        <f t="shared" si="5"/>
        <v>64.94</v>
      </c>
      <c r="W16" s="244">
        <f t="shared" si="6"/>
        <v>87.05</v>
      </c>
      <c r="Y16" s="244">
        <f t="shared" si="7"/>
        <v>22.11</v>
      </c>
      <c r="AA16" s="518">
        <f t="shared" si="8"/>
        <v>0.34050000000000002</v>
      </c>
      <c r="AC16" s="238"/>
    </row>
    <row r="17" spans="2:29" x14ac:dyDescent="0.4">
      <c r="B17" s="92"/>
      <c r="C17" s="198">
        <v>12000</v>
      </c>
      <c r="E17" s="244">
        <f>'5-8-Inch'!R21</f>
        <v>75.419999999999987</v>
      </c>
      <c r="G17" s="244">
        <f>'5-8-Inch'!Z21</f>
        <v>88.110000000000014</v>
      </c>
      <c r="I17" s="244">
        <f t="shared" si="0"/>
        <v>12.690000000000026</v>
      </c>
      <c r="K17" s="518">
        <f t="shared" si="1"/>
        <v>0.16830000000000001</v>
      </c>
      <c r="M17" s="244">
        <f t="shared" si="2"/>
        <v>88.110000000000014</v>
      </c>
      <c r="N17" s="244"/>
      <c r="O17" s="244">
        <f>'5-8-Inch'!Z47</f>
        <v>101.09</v>
      </c>
      <c r="Q17" s="244">
        <f t="shared" si="3"/>
        <v>12.97999999999999</v>
      </c>
      <c r="S17" s="518">
        <f t="shared" si="4"/>
        <v>0.14729999999999999</v>
      </c>
      <c r="U17" s="244">
        <f t="shared" si="5"/>
        <v>75.419999999999987</v>
      </c>
      <c r="W17" s="244">
        <f t="shared" si="6"/>
        <v>101.09</v>
      </c>
      <c r="Y17" s="244">
        <f t="shared" si="7"/>
        <v>25.670000000000016</v>
      </c>
      <c r="AA17" s="518">
        <f t="shared" si="8"/>
        <v>0.34039999999999998</v>
      </c>
      <c r="AC17" s="238"/>
    </row>
    <row r="18" spans="2:29" x14ac:dyDescent="0.4">
      <c r="B18" s="92"/>
      <c r="C18" s="198">
        <v>14000</v>
      </c>
      <c r="E18" s="244">
        <f>'5-8-Inch'!R22</f>
        <v>85.9</v>
      </c>
      <c r="G18" s="244">
        <f>'5-8-Inch'!Z22</f>
        <v>100.35</v>
      </c>
      <c r="I18" s="244">
        <f t="shared" si="0"/>
        <v>14.449999999999989</v>
      </c>
      <c r="K18" s="518">
        <f t="shared" si="1"/>
        <v>0.16819999999999999</v>
      </c>
      <c r="M18" s="244">
        <f t="shared" si="2"/>
        <v>100.35</v>
      </c>
      <c r="N18" s="244"/>
      <c r="O18" s="244">
        <f>'5-8-Inch'!Z48</f>
        <v>115.13</v>
      </c>
      <c r="Q18" s="244">
        <f t="shared" si="3"/>
        <v>14.780000000000001</v>
      </c>
      <c r="S18" s="518">
        <f t="shared" si="4"/>
        <v>0.14729999999999999</v>
      </c>
      <c r="U18" s="244">
        <f t="shared" si="5"/>
        <v>85.9</v>
      </c>
      <c r="W18" s="244">
        <f t="shared" si="6"/>
        <v>115.13</v>
      </c>
      <c r="Y18" s="244">
        <f t="shared" si="7"/>
        <v>29.22999999999999</v>
      </c>
      <c r="AA18" s="518">
        <f t="shared" si="8"/>
        <v>0.34029999999999999</v>
      </c>
      <c r="AC18" s="238"/>
    </row>
    <row r="19" spans="2:29" x14ac:dyDescent="0.4">
      <c r="B19" s="92"/>
      <c r="C19" s="198">
        <v>16000</v>
      </c>
      <c r="E19" s="244">
        <f>'5-8-Inch'!R23</f>
        <v>96.38</v>
      </c>
      <c r="G19" s="244">
        <f>'5-8-Inch'!Z23</f>
        <v>112.59</v>
      </c>
      <c r="I19" s="244">
        <f t="shared" si="0"/>
        <v>16.210000000000008</v>
      </c>
      <c r="K19" s="518">
        <f t="shared" si="1"/>
        <v>0.16819999999999999</v>
      </c>
      <c r="M19" s="244">
        <f t="shared" si="2"/>
        <v>112.59</v>
      </c>
      <c r="N19" s="244"/>
      <c r="O19" s="244">
        <f>'5-8-Inch'!Z49</f>
        <v>129.17000000000002</v>
      </c>
      <c r="Q19" s="244">
        <f t="shared" si="3"/>
        <v>16.580000000000013</v>
      </c>
      <c r="S19" s="518">
        <f t="shared" si="4"/>
        <v>0.14729999999999999</v>
      </c>
      <c r="U19" s="244">
        <f t="shared" si="5"/>
        <v>96.38</v>
      </c>
      <c r="W19" s="244">
        <f t="shared" si="6"/>
        <v>129.17000000000002</v>
      </c>
      <c r="Y19" s="244">
        <f t="shared" si="7"/>
        <v>32.79000000000002</v>
      </c>
      <c r="AA19" s="518">
        <f t="shared" si="8"/>
        <v>0.3402</v>
      </c>
      <c r="AC19" s="238"/>
    </row>
    <row r="20" spans="2:29" x14ac:dyDescent="0.4">
      <c r="B20" s="92"/>
      <c r="C20" s="198">
        <v>18000</v>
      </c>
      <c r="E20" s="244">
        <f>'5-8-Inch'!R24</f>
        <v>106.85999999999999</v>
      </c>
      <c r="G20" s="244">
        <f>'5-8-Inch'!Z24</f>
        <v>124.83000000000001</v>
      </c>
      <c r="I20" s="244">
        <f t="shared" si="0"/>
        <v>17.970000000000027</v>
      </c>
      <c r="K20" s="518">
        <f t="shared" si="1"/>
        <v>0.16819999999999999</v>
      </c>
      <c r="M20" s="244">
        <f t="shared" si="2"/>
        <v>124.83000000000001</v>
      </c>
      <c r="N20" s="244"/>
      <c r="O20" s="244">
        <f>'5-8-Inch'!Z50</f>
        <v>143.21</v>
      </c>
      <c r="Q20" s="244">
        <f t="shared" si="3"/>
        <v>18.379999999999995</v>
      </c>
      <c r="S20" s="518">
        <f t="shared" si="4"/>
        <v>0.1472</v>
      </c>
      <c r="U20" s="244">
        <f t="shared" si="5"/>
        <v>106.85999999999999</v>
      </c>
      <c r="W20" s="244">
        <f t="shared" si="6"/>
        <v>143.21</v>
      </c>
      <c r="Y20" s="244">
        <f t="shared" si="7"/>
        <v>36.350000000000023</v>
      </c>
      <c r="AA20" s="518">
        <f t="shared" si="8"/>
        <v>0.3402</v>
      </c>
      <c r="AC20" s="238"/>
    </row>
    <row r="21" spans="2:29" x14ac:dyDescent="0.4">
      <c r="B21" s="92"/>
      <c r="C21" s="198">
        <v>20000</v>
      </c>
      <c r="E21" s="244">
        <f>'5-8-Inch'!R25</f>
        <v>117.34</v>
      </c>
      <c r="G21" s="244">
        <f>'5-8-Inch'!Z25</f>
        <v>137.07</v>
      </c>
      <c r="I21" s="244">
        <f t="shared" si="0"/>
        <v>19.72999999999999</v>
      </c>
      <c r="K21" s="518">
        <f>ROUND(I21/E21,4)</f>
        <v>0.1681</v>
      </c>
      <c r="M21" s="244">
        <f t="shared" si="2"/>
        <v>137.07</v>
      </c>
      <c r="N21" s="244"/>
      <c r="O21" s="244">
        <f>'5-8-Inch'!Z51</f>
        <v>157.25</v>
      </c>
      <c r="Q21" s="244">
        <f t="shared" si="3"/>
        <v>20.180000000000007</v>
      </c>
      <c r="S21" s="518">
        <f>ROUND(Q21/M21,4)</f>
        <v>0.1472</v>
      </c>
      <c r="U21" s="244">
        <f t="shared" si="5"/>
        <v>117.34</v>
      </c>
      <c r="W21" s="244">
        <f t="shared" si="6"/>
        <v>157.25</v>
      </c>
      <c r="Y21" s="244">
        <f t="shared" si="7"/>
        <v>39.909999999999997</v>
      </c>
      <c r="AA21" s="518">
        <f>ROUND(Y21/U21,4)</f>
        <v>0.34010000000000001</v>
      </c>
      <c r="AC21" s="238"/>
    </row>
    <row r="22" spans="2:29" x14ac:dyDescent="0.4">
      <c r="B22" s="92"/>
      <c r="C22" s="116"/>
      <c r="K22" s="572"/>
      <c r="N22" s="244"/>
      <c r="AC22" s="238"/>
    </row>
    <row r="23" spans="2:29" x14ac:dyDescent="0.4">
      <c r="B23" s="92"/>
      <c r="C23" s="116"/>
      <c r="E23" s="571" t="s">
        <v>229</v>
      </c>
      <c r="G23" s="570" t="s">
        <v>698</v>
      </c>
      <c r="I23" s="257"/>
      <c r="K23" s="515"/>
      <c r="M23" s="570" t="s">
        <v>698</v>
      </c>
      <c r="O23" s="570" t="s">
        <v>699</v>
      </c>
      <c r="Q23" s="257"/>
      <c r="S23" s="515"/>
      <c r="U23" s="571" t="s">
        <v>229</v>
      </c>
      <c r="W23" s="570" t="s">
        <v>57</v>
      </c>
      <c r="Y23" s="257"/>
      <c r="AA23" s="515"/>
      <c r="AC23" s="238"/>
    </row>
    <row r="24" spans="2:29" x14ac:dyDescent="0.4">
      <c r="B24" s="92"/>
      <c r="C24" s="517" t="s">
        <v>334</v>
      </c>
      <c r="E24" s="245" t="s">
        <v>230</v>
      </c>
      <c r="G24" s="245" t="s">
        <v>230</v>
      </c>
      <c r="I24" s="243" t="s">
        <v>231</v>
      </c>
      <c r="K24" s="516" t="s">
        <v>232</v>
      </c>
      <c r="M24" s="245" t="s">
        <v>230</v>
      </c>
      <c r="O24" s="245" t="s">
        <v>230</v>
      </c>
      <c r="Q24" s="243" t="s">
        <v>231</v>
      </c>
      <c r="S24" s="516" t="s">
        <v>232</v>
      </c>
      <c r="U24" s="245" t="s">
        <v>230</v>
      </c>
      <c r="W24" s="245" t="s">
        <v>230</v>
      </c>
      <c r="Y24" s="243" t="s">
        <v>231</v>
      </c>
      <c r="AA24" s="516" t="s">
        <v>232</v>
      </c>
      <c r="AC24" s="238"/>
    </row>
    <row r="25" spans="2:29" x14ac:dyDescent="0.4">
      <c r="B25" s="92"/>
      <c r="C25" s="198">
        <v>2000</v>
      </c>
      <c r="E25" s="244">
        <f>'1-Inch'!Q16</f>
        <v>38.68</v>
      </c>
      <c r="G25" s="244">
        <f>'1-Inch'!Y16</f>
        <v>45.25</v>
      </c>
      <c r="I25" s="244">
        <f t="shared" ref="I25:I34" si="9">G25-E25</f>
        <v>6.57</v>
      </c>
      <c r="K25" s="518">
        <f t="shared" ref="K25:K34" si="10">ROUND(I25/E25,4)</f>
        <v>0.1699</v>
      </c>
      <c r="M25" s="244">
        <f>G25</f>
        <v>45.25</v>
      </c>
      <c r="N25" s="244"/>
      <c r="O25" s="244">
        <f>'1-Inch'!Y43</f>
        <v>51.89</v>
      </c>
      <c r="Q25" s="244">
        <f t="shared" ref="Q25:Q34" si="11">O25-M25</f>
        <v>6.6400000000000006</v>
      </c>
      <c r="S25" s="518">
        <f t="shared" ref="S25:S34" si="12">ROUND(Q25/M25,4)</f>
        <v>0.1467</v>
      </c>
      <c r="U25" s="244">
        <f>E25</f>
        <v>38.68</v>
      </c>
      <c r="W25" s="244">
        <f>O25</f>
        <v>51.89</v>
      </c>
      <c r="Y25" s="244">
        <f t="shared" ref="Y25:Y34" si="13">W25-U25</f>
        <v>13.21</v>
      </c>
      <c r="AA25" s="518">
        <f t="shared" ref="AA25:AA34" si="14">ROUND(Y25/U25,4)</f>
        <v>0.34150000000000003</v>
      </c>
      <c r="AC25" s="238"/>
    </row>
    <row r="26" spans="2:29" x14ac:dyDescent="0.4">
      <c r="B26" s="92"/>
      <c r="C26" s="198">
        <v>4000</v>
      </c>
      <c r="E26" s="244">
        <f>'1-Inch'!Q17</f>
        <v>38.68</v>
      </c>
      <c r="G26" s="244">
        <f>'1-Inch'!Y17</f>
        <v>45.25</v>
      </c>
      <c r="I26" s="244">
        <f t="shared" si="9"/>
        <v>6.57</v>
      </c>
      <c r="K26" s="518">
        <f t="shared" si="10"/>
        <v>0.1699</v>
      </c>
      <c r="M26" s="244">
        <f t="shared" ref="M26:M34" si="15">G26</f>
        <v>45.25</v>
      </c>
      <c r="N26" s="244"/>
      <c r="O26" s="244">
        <f>'1-Inch'!Y44</f>
        <v>51.89</v>
      </c>
      <c r="Q26" s="244">
        <f t="shared" si="11"/>
        <v>6.6400000000000006</v>
      </c>
      <c r="S26" s="518">
        <f t="shared" si="12"/>
        <v>0.1467</v>
      </c>
      <c r="U26" s="244">
        <f t="shared" ref="U26:U34" si="16">E26</f>
        <v>38.68</v>
      </c>
      <c r="W26" s="244">
        <f t="shared" ref="W26:W34" si="17">O26</f>
        <v>51.89</v>
      </c>
      <c r="Y26" s="244">
        <f t="shared" si="13"/>
        <v>13.21</v>
      </c>
      <c r="AA26" s="518">
        <f t="shared" si="14"/>
        <v>0.34150000000000003</v>
      </c>
      <c r="AC26" s="238"/>
    </row>
    <row r="27" spans="2:29" x14ac:dyDescent="0.4">
      <c r="B27" s="92"/>
      <c r="C27" s="198">
        <v>6000</v>
      </c>
      <c r="E27" s="244">
        <f>'1-Inch'!Q18</f>
        <v>44.58</v>
      </c>
      <c r="G27" s="244">
        <f>'1-Inch'!Y18</f>
        <v>52.14</v>
      </c>
      <c r="I27" s="244">
        <f t="shared" si="9"/>
        <v>7.5600000000000023</v>
      </c>
      <c r="K27" s="518">
        <f t="shared" si="10"/>
        <v>0.1696</v>
      </c>
      <c r="M27" s="244">
        <f t="shared" si="15"/>
        <v>52.14</v>
      </c>
      <c r="N27" s="244"/>
      <c r="O27" s="244">
        <f>'1-Inch'!Y45</f>
        <v>59.8</v>
      </c>
      <c r="Q27" s="244">
        <f t="shared" si="11"/>
        <v>7.6599999999999966</v>
      </c>
      <c r="S27" s="518">
        <f t="shared" si="12"/>
        <v>0.1469</v>
      </c>
      <c r="U27" s="244">
        <f t="shared" si="16"/>
        <v>44.58</v>
      </c>
      <c r="W27" s="244">
        <f t="shared" si="17"/>
        <v>59.8</v>
      </c>
      <c r="Y27" s="244">
        <f t="shared" si="13"/>
        <v>15.219999999999999</v>
      </c>
      <c r="AA27" s="518">
        <f t="shared" si="14"/>
        <v>0.34139999999999998</v>
      </c>
      <c r="AC27" s="238"/>
    </row>
    <row r="28" spans="2:29" x14ac:dyDescent="0.4">
      <c r="B28" s="92"/>
      <c r="C28" s="198">
        <v>8000</v>
      </c>
      <c r="E28" s="244">
        <f>'1-Inch'!Q19</f>
        <v>55.06</v>
      </c>
      <c r="G28" s="244">
        <f>'1-Inch'!Y19</f>
        <v>64.38</v>
      </c>
      <c r="I28" s="244">
        <f t="shared" si="9"/>
        <v>9.3199999999999932</v>
      </c>
      <c r="K28" s="518">
        <f t="shared" si="10"/>
        <v>0.16930000000000001</v>
      </c>
      <c r="M28" s="244">
        <f t="shared" si="15"/>
        <v>64.38</v>
      </c>
      <c r="N28" s="244"/>
      <c r="O28" s="244">
        <f>'1-Inch'!Y46</f>
        <v>73.84</v>
      </c>
      <c r="Q28" s="244">
        <f t="shared" si="11"/>
        <v>9.460000000000008</v>
      </c>
      <c r="S28" s="518">
        <f t="shared" si="12"/>
        <v>0.1469</v>
      </c>
      <c r="U28" s="244">
        <f t="shared" si="16"/>
        <v>55.06</v>
      </c>
      <c r="W28" s="244">
        <f t="shared" si="17"/>
        <v>73.84</v>
      </c>
      <c r="Y28" s="244">
        <f t="shared" si="13"/>
        <v>18.78</v>
      </c>
      <c r="AA28" s="518">
        <f t="shared" si="14"/>
        <v>0.34110000000000001</v>
      </c>
      <c r="AC28" s="238"/>
    </row>
    <row r="29" spans="2:29" x14ac:dyDescent="0.4">
      <c r="B29" s="92"/>
      <c r="C29" s="198">
        <v>10000</v>
      </c>
      <c r="E29" s="244">
        <f>'1-Inch'!Q20</f>
        <v>65.539999999999992</v>
      </c>
      <c r="G29" s="244">
        <f>'1-Inch'!Y20</f>
        <v>76.62</v>
      </c>
      <c r="I29" s="244">
        <f t="shared" si="9"/>
        <v>11.080000000000013</v>
      </c>
      <c r="K29" s="518">
        <f t="shared" si="10"/>
        <v>0.1691</v>
      </c>
      <c r="M29" s="244">
        <f t="shared" si="15"/>
        <v>76.62</v>
      </c>
      <c r="N29" s="244"/>
      <c r="O29" s="244">
        <f>'1-Inch'!Y47</f>
        <v>87.88</v>
      </c>
      <c r="Q29" s="244">
        <f t="shared" si="11"/>
        <v>11.259999999999991</v>
      </c>
      <c r="S29" s="518">
        <f t="shared" si="12"/>
        <v>0.14699999999999999</v>
      </c>
      <c r="U29" s="244">
        <f t="shared" si="16"/>
        <v>65.539999999999992</v>
      </c>
      <c r="W29" s="244">
        <f t="shared" si="17"/>
        <v>87.88</v>
      </c>
      <c r="Y29" s="244">
        <f t="shared" si="13"/>
        <v>22.340000000000003</v>
      </c>
      <c r="AA29" s="518">
        <f t="shared" si="14"/>
        <v>0.34089999999999998</v>
      </c>
      <c r="AC29" s="238"/>
    </row>
    <row r="30" spans="2:29" x14ac:dyDescent="0.4">
      <c r="B30" s="92"/>
      <c r="C30" s="198">
        <v>12000</v>
      </c>
      <c r="E30" s="244">
        <f>'1-Inch'!Q21</f>
        <v>76.02</v>
      </c>
      <c r="G30" s="244">
        <f>'1-Inch'!Y21</f>
        <v>88.860000000000014</v>
      </c>
      <c r="I30" s="244">
        <f t="shared" si="9"/>
        <v>12.840000000000018</v>
      </c>
      <c r="K30" s="518">
        <f t="shared" si="10"/>
        <v>0.16889999999999999</v>
      </c>
      <c r="M30" s="244">
        <f t="shared" si="15"/>
        <v>88.860000000000014</v>
      </c>
      <c r="N30" s="244"/>
      <c r="O30" s="244">
        <f>'1-Inch'!Y48</f>
        <v>101.92</v>
      </c>
      <c r="Q30" s="244">
        <f t="shared" si="11"/>
        <v>13.059999999999988</v>
      </c>
      <c r="S30" s="518">
        <f t="shared" si="12"/>
        <v>0.14699999999999999</v>
      </c>
      <c r="U30" s="244">
        <f t="shared" si="16"/>
        <v>76.02</v>
      </c>
      <c r="W30" s="244">
        <f t="shared" si="17"/>
        <v>101.92</v>
      </c>
      <c r="Y30" s="244">
        <f t="shared" si="13"/>
        <v>25.900000000000006</v>
      </c>
      <c r="AA30" s="518">
        <f t="shared" si="14"/>
        <v>0.3407</v>
      </c>
      <c r="AC30" s="238"/>
    </row>
    <row r="31" spans="2:29" x14ac:dyDescent="0.4">
      <c r="B31" s="92"/>
      <c r="C31" s="198">
        <v>14000</v>
      </c>
      <c r="E31" s="244">
        <f>'1-Inch'!Q22</f>
        <v>86.5</v>
      </c>
      <c r="G31" s="244">
        <f>'1-Inch'!Y22</f>
        <v>101.1</v>
      </c>
      <c r="I31" s="244">
        <f t="shared" si="9"/>
        <v>14.599999999999994</v>
      </c>
      <c r="K31" s="518">
        <f t="shared" si="10"/>
        <v>0.16880000000000001</v>
      </c>
      <c r="M31" s="244">
        <f t="shared" si="15"/>
        <v>101.1</v>
      </c>
      <c r="N31" s="244"/>
      <c r="O31" s="244">
        <f>'1-Inch'!Y49</f>
        <v>115.96000000000001</v>
      </c>
      <c r="Q31" s="244">
        <f t="shared" si="11"/>
        <v>14.860000000000014</v>
      </c>
      <c r="S31" s="518">
        <f t="shared" si="12"/>
        <v>0.14699999999999999</v>
      </c>
      <c r="U31" s="244">
        <f t="shared" si="16"/>
        <v>86.5</v>
      </c>
      <c r="W31" s="244">
        <f t="shared" si="17"/>
        <v>115.96000000000001</v>
      </c>
      <c r="Y31" s="244">
        <f t="shared" si="13"/>
        <v>29.460000000000008</v>
      </c>
      <c r="AA31" s="518">
        <f t="shared" si="14"/>
        <v>0.34060000000000001</v>
      </c>
      <c r="AC31" s="238"/>
    </row>
    <row r="32" spans="2:29" x14ac:dyDescent="0.4">
      <c r="B32" s="92"/>
      <c r="C32" s="198">
        <v>16000</v>
      </c>
      <c r="E32" s="244">
        <f>'1-Inch'!Q23</f>
        <v>96.97999999999999</v>
      </c>
      <c r="G32" s="244">
        <f>'1-Inch'!Y23</f>
        <v>113.34</v>
      </c>
      <c r="I32" s="244">
        <f t="shared" si="9"/>
        <v>16.360000000000014</v>
      </c>
      <c r="K32" s="518">
        <f t="shared" si="10"/>
        <v>0.16869999999999999</v>
      </c>
      <c r="M32" s="244">
        <f t="shared" si="15"/>
        <v>113.34</v>
      </c>
      <c r="N32" s="244"/>
      <c r="O32" s="244">
        <f>'1-Inch'!Y50</f>
        <v>130</v>
      </c>
      <c r="Q32" s="244">
        <f t="shared" si="11"/>
        <v>16.659999999999997</v>
      </c>
      <c r="S32" s="518">
        <f t="shared" si="12"/>
        <v>0.14699999999999999</v>
      </c>
      <c r="U32" s="244">
        <f t="shared" si="16"/>
        <v>96.97999999999999</v>
      </c>
      <c r="W32" s="244">
        <f t="shared" si="17"/>
        <v>130</v>
      </c>
      <c r="Y32" s="244">
        <f t="shared" si="13"/>
        <v>33.02000000000001</v>
      </c>
      <c r="AA32" s="518">
        <f t="shared" si="14"/>
        <v>0.34050000000000002</v>
      </c>
      <c r="AC32" s="238"/>
    </row>
    <row r="33" spans="2:29" x14ac:dyDescent="0.4">
      <c r="B33" s="92"/>
      <c r="C33" s="198">
        <v>18000</v>
      </c>
      <c r="E33" s="244">
        <f>'1-Inch'!Q24</f>
        <v>107.46</v>
      </c>
      <c r="G33" s="244">
        <f>'1-Inch'!Y24</f>
        <v>125.58000000000001</v>
      </c>
      <c r="I33" s="244">
        <f t="shared" si="9"/>
        <v>18.120000000000019</v>
      </c>
      <c r="K33" s="518">
        <f t="shared" si="10"/>
        <v>0.1686</v>
      </c>
      <c r="M33" s="244">
        <f t="shared" si="15"/>
        <v>125.58000000000001</v>
      </c>
      <c r="N33" s="244"/>
      <c r="O33" s="244">
        <f>'1-Inch'!Y51</f>
        <v>144.04000000000002</v>
      </c>
      <c r="Q33" s="244">
        <f t="shared" si="11"/>
        <v>18.460000000000008</v>
      </c>
      <c r="S33" s="518">
        <f t="shared" si="12"/>
        <v>0.14699999999999999</v>
      </c>
      <c r="U33" s="244">
        <f t="shared" si="16"/>
        <v>107.46</v>
      </c>
      <c r="W33" s="244">
        <f t="shared" si="17"/>
        <v>144.04000000000002</v>
      </c>
      <c r="Y33" s="244">
        <f t="shared" si="13"/>
        <v>36.580000000000027</v>
      </c>
      <c r="AA33" s="518">
        <f t="shared" si="14"/>
        <v>0.34039999999999998</v>
      </c>
      <c r="AC33" s="238"/>
    </row>
    <row r="34" spans="2:29" x14ac:dyDescent="0.4">
      <c r="B34" s="92"/>
      <c r="C34" s="198">
        <v>20000</v>
      </c>
      <c r="E34" s="244">
        <f>'1-Inch'!Q25</f>
        <v>117.94</v>
      </c>
      <c r="G34" s="244">
        <f>'1-Inch'!Y25</f>
        <v>137.82</v>
      </c>
      <c r="I34" s="244">
        <f t="shared" si="9"/>
        <v>19.879999999999995</v>
      </c>
      <c r="K34" s="518">
        <f t="shared" si="10"/>
        <v>0.1686</v>
      </c>
      <c r="M34" s="244">
        <f t="shared" si="15"/>
        <v>137.82</v>
      </c>
      <c r="N34" s="244"/>
      <c r="O34" s="244">
        <f>'1-Inch'!Y52</f>
        <v>158.07999999999998</v>
      </c>
      <c r="Q34" s="244">
        <f t="shared" si="11"/>
        <v>20.259999999999991</v>
      </c>
      <c r="S34" s="518">
        <f t="shared" si="12"/>
        <v>0.14699999999999999</v>
      </c>
      <c r="U34" s="244">
        <f t="shared" si="16"/>
        <v>117.94</v>
      </c>
      <c r="W34" s="244">
        <f t="shared" si="17"/>
        <v>158.07999999999998</v>
      </c>
      <c r="Y34" s="244">
        <f t="shared" si="13"/>
        <v>40.139999999999986</v>
      </c>
      <c r="AA34" s="518">
        <f t="shared" si="14"/>
        <v>0.34029999999999999</v>
      </c>
      <c r="AC34" s="238"/>
    </row>
    <row r="35" spans="2:29" x14ac:dyDescent="0.4">
      <c r="B35" s="92"/>
      <c r="C35" s="198"/>
      <c r="K35" s="572"/>
      <c r="N35" s="244"/>
      <c r="AC35" s="238"/>
    </row>
    <row r="36" spans="2:29" x14ac:dyDescent="0.4">
      <c r="B36" s="92"/>
      <c r="C36" s="198"/>
      <c r="E36" s="571" t="s">
        <v>229</v>
      </c>
      <c r="G36" s="570" t="s">
        <v>698</v>
      </c>
      <c r="I36" s="257"/>
      <c r="K36" s="515"/>
      <c r="M36" s="570" t="s">
        <v>698</v>
      </c>
      <c r="O36" s="570" t="s">
        <v>699</v>
      </c>
      <c r="Q36" s="257"/>
      <c r="S36" s="515"/>
      <c r="U36" s="571" t="s">
        <v>229</v>
      </c>
      <c r="W36" s="570" t="s">
        <v>57</v>
      </c>
      <c r="Y36" s="257"/>
      <c r="AA36" s="515"/>
      <c r="AC36" s="238"/>
    </row>
    <row r="37" spans="2:29" x14ac:dyDescent="0.4">
      <c r="B37" s="92"/>
      <c r="C37" s="517" t="s">
        <v>350</v>
      </c>
      <c r="E37" s="245" t="s">
        <v>230</v>
      </c>
      <c r="G37" s="245" t="s">
        <v>230</v>
      </c>
      <c r="I37" s="243" t="s">
        <v>231</v>
      </c>
      <c r="K37" s="516" t="s">
        <v>232</v>
      </c>
      <c r="M37" s="245" t="s">
        <v>230</v>
      </c>
      <c r="O37" s="245" t="s">
        <v>230</v>
      </c>
      <c r="Q37" s="243" t="s">
        <v>231</v>
      </c>
      <c r="S37" s="516" t="s">
        <v>232</v>
      </c>
      <c r="U37" s="245" t="s">
        <v>230</v>
      </c>
      <c r="W37" s="245" t="s">
        <v>230</v>
      </c>
      <c r="Y37" s="243" t="s">
        <v>231</v>
      </c>
      <c r="AA37" s="516" t="s">
        <v>232</v>
      </c>
      <c r="AC37" s="238"/>
    </row>
    <row r="38" spans="2:29" x14ac:dyDescent="0.4">
      <c r="B38" s="92"/>
      <c r="C38" s="197">
        <v>5000</v>
      </c>
      <c r="E38" s="244">
        <f>'1.5-Inch'!P12</f>
        <v>69.11</v>
      </c>
      <c r="G38" s="244">
        <f>'1.5-Inch'!W12</f>
        <v>80.849999999999994</v>
      </c>
      <c r="I38" s="244">
        <f t="shared" ref="I38:I43" si="18">G38-E38</f>
        <v>11.739999999999995</v>
      </c>
      <c r="K38" s="518">
        <f t="shared" ref="K38:K43" si="19">ROUND(I38/E38,4)</f>
        <v>0.1699</v>
      </c>
      <c r="M38" s="244">
        <f>G38</f>
        <v>80.849999999999994</v>
      </c>
      <c r="N38" s="244"/>
      <c r="O38" s="244">
        <f>'1.5-Inch'!W32</f>
        <v>92.71</v>
      </c>
      <c r="Q38" s="244">
        <f t="shared" ref="Q38:Q43" si="20">O38-M38</f>
        <v>11.86</v>
      </c>
      <c r="S38" s="518">
        <f t="shared" ref="S38:S43" si="21">ROUND(Q38/M38,4)</f>
        <v>0.1467</v>
      </c>
      <c r="U38" s="244">
        <f>E38</f>
        <v>69.11</v>
      </c>
      <c r="W38" s="244">
        <f>O38</f>
        <v>92.71</v>
      </c>
      <c r="Y38" s="244">
        <f t="shared" ref="Y38:Y43" si="22">W38-U38</f>
        <v>23.599999999999994</v>
      </c>
      <c r="AA38" s="518">
        <f t="shared" ref="AA38:AA43" si="23">ROUND(Y38/U38,4)</f>
        <v>0.34150000000000003</v>
      </c>
      <c r="AC38" s="238"/>
    </row>
    <row r="39" spans="2:29" x14ac:dyDescent="0.4">
      <c r="B39" s="92"/>
      <c r="C39" s="197">
        <v>10000</v>
      </c>
      <c r="E39" s="244">
        <f>'1.5-Inch'!P13</f>
        <v>69.11</v>
      </c>
      <c r="G39" s="244">
        <f>'1.5-Inch'!W13</f>
        <v>80.849999999999994</v>
      </c>
      <c r="I39" s="244">
        <f t="shared" si="18"/>
        <v>11.739999999999995</v>
      </c>
      <c r="K39" s="518">
        <f t="shared" si="19"/>
        <v>0.1699</v>
      </c>
      <c r="M39" s="244">
        <f t="shared" ref="M39:M43" si="24">G39</f>
        <v>80.849999999999994</v>
      </c>
      <c r="N39" s="244"/>
      <c r="O39" s="244">
        <f>'1.5-Inch'!W33</f>
        <v>92.71</v>
      </c>
      <c r="Q39" s="244">
        <f t="shared" si="20"/>
        <v>11.86</v>
      </c>
      <c r="S39" s="518">
        <f t="shared" si="21"/>
        <v>0.1467</v>
      </c>
      <c r="U39" s="244">
        <f t="shared" ref="U39:U43" si="25">E39</f>
        <v>69.11</v>
      </c>
      <c r="W39" s="244">
        <f t="shared" ref="W39:W43" si="26">O39</f>
        <v>92.71</v>
      </c>
      <c r="Y39" s="244">
        <f t="shared" si="22"/>
        <v>23.599999999999994</v>
      </c>
      <c r="AA39" s="518">
        <f t="shared" si="23"/>
        <v>0.34150000000000003</v>
      </c>
      <c r="AC39" s="238"/>
    </row>
    <row r="40" spans="2:29" x14ac:dyDescent="0.4">
      <c r="B40" s="92"/>
      <c r="C40" s="197">
        <v>15000</v>
      </c>
      <c r="E40" s="244">
        <f>'1.5-Inch'!P14</f>
        <v>95.31</v>
      </c>
      <c r="G40" s="244">
        <f>'1.5-Inch'!W14</f>
        <v>111.44999999999999</v>
      </c>
      <c r="I40" s="244">
        <f t="shared" si="18"/>
        <v>16.139999999999986</v>
      </c>
      <c r="K40" s="518">
        <f t="shared" si="19"/>
        <v>0.16930000000000001</v>
      </c>
      <c r="M40" s="244">
        <f t="shared" si="24"/>
        <v>111.44999999999999</v>
      </c>
      <c r="N40" s="244"/>
      <c r="O40" s="244">
        <f>'1.5-Inch'!W34</f>
        <v>127.81</v>
      </c>
      <c r="Q40" s="244">
        <f t="shared" si="20"/>
        <v>16.360000000000014</v>
      </c>
      <c r="S40" s="518">
        <f t="shared" si="21"/>
        <v>0.14680000000000001</v>
      </c>
      <c r="U40" s="244">
        <f t="shared" si="25"/>
        <v>95.31</v>
      </c>
      <c r="W40" s="244">
        <f t="shared" si="26"/>
        <v>127.81</v>
      </c>
      <c r="Y40" s="244">
        <f t="shared" si="22"/>
        <v>32.5</v>
      </c>
      <c r="AA40" s="518">
        <f t="shared" si="23"/>
        <v>0.34100000000000003</v>
      </c>
      <c r="AC40" s="238"/>
    </row>
    <row r="41" spans="2:29" x14ac:dyDescent="0.4">
      <c r="B41" s="92"/>
      <c r="C41" s="197">
        <v>20000</v>
      </c>
      <c r="E41" s="244">
        <f>'1.5-Inch'!P15</f>
        <v>121.50999999999999</v>
      </c>
      <c r="G41" s="244">
        <f>'1.5-Inch'!W15</f>
        <v>142.05000000000001</v>
      </c>
      <c r="I41" s="244">
        <f t="shared" si="18"/>
        <v>20.54000000000002</v>
      </c>
      <c r="K41" s="518">
        <f t="shared" si="19"/>
        <v>0.16900000000000001</v>
      </c>
      <c r="M41" s="244">
        <f t="shared" si="24"/>
        <v>142.05000000000001</v>
      </c>
      <c r="N41" s="244"/>
      <c r="O41" s="244">
        <f>'1.5-Inch'!W35</f>
        <v>162.91</v>
      </c>
      <c r="Q41" s="244">
        <f t="shared" si="20"/>
        <v>20.859999999999985</v>
      </c>
      <c r="S41" s="518">
        <f t="shared" si="21"/>
        <v>0.14680000000000001</v>
      </c>
      <c r="U41" s="244">
        <f t="shared" si="25"/>
        <v>121.50999999999999</v>
      </c>
      <c r="W41" s="244">
        <f t="shared" si="26"/>
        <v>162.91</v>
      </c>
      <c r="Y41" s="244">
        <f t="shared" si="22"/>
        <v>41.400000000000006</v>
      </c>
      <c r="AA41" s="518">
        <f t="shared" si="23"/>
        <v>0.3407</v>
      </c>
      <c r="AC41" s="238"/>
    </row>
    <row r="42" spans="2:29" x14ac:dyDescent="0.4">
      <c r="B42" s="92"/>
      <c r="C42" s="197">
        <v>25000</v>
      </c>
      <c r="E42" s="244">
        <f>'1.5-Inch'!P16</f>
        <v>147.70999999999998</v>
      </c>
      <c r="G42" s="244">
        <f>'1.5-Inch'!W16</f>
        <v>172.65</v>
      </c>
      <c r="I42" s="244">
        <f t="shared" si="18"/>
        <v>24.940000000000026</v>
      </c>
      <c r="K42" s="518">
        <f t="shared" si="19"/>
        <v>0.16880000000000001</v>
      </c>
      <c r="M42" s="244">
        <f t="shared" si="24"/>
        <v>172.65</v>
      </c>
      <c r="N42" s="244"/>
      <c r="O42" s="244">
        <f>'1.5-Inch'!W36</f>
        <v>198.01</v>
      </c>
      <c r="Q42" s="244">
        <f t="shared" si="20"/>
        <v>25.359999999999985</v>
      </c>
      <c r="S42" s="518">
        <f t="shared" si="21"/>
        <v>0.1469</v>
      </c>
      <c r="U42" s="244">
        <f t="shared" si="25"/>
        <v>147.70999999999998</v>
      </c>
      <c r="W42" s="244">
        <f t="shared" si="26"/>
        <v>198.01</v>
      </c>
      <c r="Y42" s="244">
        <f t="shared" si="22"/>
        <v>50.300000000000011</v>
      </c>
      <c r="AA42" s="518">
        <f t="shared" si="23"/>
        <v>0.34050000000000002</v>
      </c>
      <c r="AC42" s="238"/>
    </row>
    <row r="43" spans="2:29" x14ac:dyDescent="0.4">
      <c r="B43" s="92"/>
      <c r="C43" s="197">
        <v>30000</v>
      </c>
      <c r="E43" s="244">
        <f>'1.5-Inch'!P17</f>
        <v>173.91</v>
      </c>
      <c r="G43" s="244">
        <f>'1.5-Inch'!W17</f>
        <v>203.25</v>
      </c>
      <c r="I43" s="244">
        <f t="shared" si="18"/>
        <v>29.340000000000003</v>
      </c>
      <c r="K43" s="518">
        <f t="shared" si="19"/>
        <v>0.16869999999999999</v>
      </c>
      <c r="M43" s="244">
        <f t="shared" si="24"/>
        <v>203.25</v>
      </c>
      <c r="N43" s="244"/>
      <c r="O43" s="244">
        <f>'1.5-Inch'!W37</f>
        <v>233.11</v>
      </c>
      <c r="Q43" s="244">
        <f t="shared" si="20"/>
        <v>29.860000000000014</v>
      </c>
      <c r="S43" s="518">
        <f t="shared" si="21"/>
        <v>0.1469</v>
      </c>
      <c r="U43" s="244">
        <f t="shared" si="25"/>
        <v>173.91</v>
      </c>
      <c r="W43" s="244">
        <f t="shared" si="26"/>
        <v>233.11</v>
      </c>
      <c r="Y43" s="244">
        <f t="shared" si="22"/>
        <v>59.200000000000017</v>
      </c>
      <c r="AA43" s="518">
        <f t="shared" si="23"/>
        <v>0.34039999999999998</v>
      </c>
      <c r="AC43" s="238"/>
    </row>
    <row r="44" spans="2:29" x14ac:dyDescent="0.4">
      <c r="B44" s="248"/>
      <c r="C44" s="277"/>
      <c r="D44" s="136"/>
      <c r="E44" s="250"/>
      <c r="F44" s="136"/>
      <c r="G44" s="250"/>
      <c r="H44" s="136"/>
      <c r="I44" s="250"/>
      <c r="J44" s="136"/>
      <c r="K44" s="533"/>
      <c r="L44" s="136"/>
      <c r="M44" s="136"/>
      <c r="N44" s="250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249"/>
    </row>
    <row r="45" spans="2:29" x14ac:dyDescent="0.4">
      <c r="B45" s="92"/>
      <c r="C45" s="198"/>
      <c r="E45" s="571" t="s">
        <v>229</v>
      </c>
      <c r="G45" s="570" t="s">
        <v>698</v>
      </c>
      <c r="I45" s="257"/>
      <c r="K45" s="515"/>
      <c r="M45" s="570" t="s">
        <v>698</v>
      </c>
      <c r="O45" s="570" t="s">
        <v>699</v>
      </c>
      <c r="Q45" s="257"/>
      <c r="S45" s="515"/>
      <c r="U45" s="571" t="s">
        <v>229</v>
      </c>
      <c r="W45" s="570" t="s">
        <v>57</v>
      </c>
      <c r="Y45" s="257"/>
      <c r="AA45" s="515"/>
      <c r="AC45" s="238"/>
    </row>
    <row r="46" spans="2:29" x14ac:dyDescent="0.4">
      <c r="B46" s="92"/>
      <c r="C46" s="517" t="s">
        <v>336</v>
      </c>
      <c r="E46" s="245" t="s">
        <v>230</v>
      </c>
      <c r="G46" s="245" t="s">
        <v>230</v>
      </c>
      <c r="I46" s="243" t="s">
        <v>231</v>
      </c>
      <c r="K46" s="516" t="s">
        <v>232</v>
      </c>
      <c r="M46" s="245" t="s">
        <v>230</v>
      </c>
      <c r="O46" s="245" t="s">
        <v>230</v>
      </c>
      <c r="Q46" s="243" t="s">
        <v>231</v>
      </c>
      <c r="S46" s="516" t="s">
        <v>232</v>
      </c>
      <c r="U46" s="245" t="s">
        <v>230</v>
      </c>
      <c r="W46" s="245" t="s">
        <v>230</v>
      </c>
      <c r="Y46" s="243" t="s">
        <v>231</v>
      </c>
      <c r="AA46" s="516" t="s">
        <v>232</v>
      </c>
      <c r="AC46" s="238"/>
    </row>
    <row r="47" spans="2:29" x14ac:dyDescent="0.4">
      <c r="B47" s="92"/>
      <c r="C47" s="197">
        <v>30000</v>
      </c>
      <c r="E47" s="244">
        <f>'2-Inch'!P13</f>
        <v>174.8</v>
      </c>
      <c r="G47" s="244">
        <f>'2-Inch'!W13</f>
        <v>204.35</v>
      </c>
      <c r="I47" s="244">
        <f t="shared" ref="I47:I52" si="27">G47-E47</f>
        <v>29.549999999999983</v>
      </c>
      <c r="K47" s="518">
        <f t="shared" ref="K47:K52" si="28">ROUND(I47/E47,4)</f>
        <v>0.1691</v>
      </c>
      <c r="M47" s="244">
        <f>G47</f>
        <v>204.35</v>
      </c>
      <c r="N47" s="244"/>
      <c r="O47" s="138">
        <f>'2-Inch'!W33</f>
        <v>234.37</v>
      </c>
      <c r="Q47" s="244">
        <f t="shared" ref="Q47:Q52" si="29">O47-M47</f>
        <v>30.02000000000001</v>
      </c>
      <c r="S47" s="518">
        <f t="shared" ref="S47:S52" si="30">ROUND(Q47/M47,4)</f>
        <v>0.1469</v>
      </c>
      <c r="U47" s="244">
        <f>E47</f>
        <v>174.8</v>
      </c>
      <c r="W47">
        <f>O47</f>
        <v>234.37</v>
      </c>
      <c r="Y47" s="244">
        <f t="shared" ref="Y47:Y52" si="31">W47-U47</f>
        <v>59.569999999999993</v>
      </c>
      <c r="AA47" s="518">
        <f t="shared" ref="AA47:AA52" si="32">ROUND(Y47/U47,4)</f>
        <v>0.34079999999999999</v>
      </c>
      <c r="AC47" s="238"/>
    </row>
    <row r="48" spans="2:29" x14ac:dyDescent="0.4">
      <c r="B48" s="92"/>
      <c r="C48" s="197">
        <v>60000</v>
      </c>
      <c r="E48" s="244">
        <f>'2-Inch'!P14</f>
        <v>324.70000000000005</v>
      </c>
      <c r="G48" s="244">
        <f>'2-Inch'!W14</f>
        <v>379.45</v>
      </c>
      <c r="I48" s="244">
        <f t="shared" si="27"/>
        <v>54.749999999999943</v>
      </c>
      <c r="K48" s="518">
        <f t="shared" si="28"/>
        <v>0.1686</v>
      </c>
      <c r="M48" s="244">
        <f t="shared" ref="M48:M52" si="33">G48</f>
        <v>379.45</v>
      </c>
      <c r="N48" s="244"/>
      <c r="O48" s="138">
        <f>'2-Inch'!W34</f>
        <v>435.16999999999996</v>
      </c>
      <c r="Q48" s="244">
        <f t="shared" si="29"/>
        <v>55.71999999999997</v>
      </c>
      <c r="S48" s="518">
        <f t="shared" si="30"/>
        <v>0.14680000000000001</v>
      </c>
      <c r="U48" s="244">
        <f t="shared" ref="U48:U52" si="34">E48</f>
        <v>324.70000000000005</v>
      </c>
      <c r="W48">
        <f t="shared" ref="W48:W52" si="35">O48</f>
        <v>435.16999999999996</v>
      </c>
      <c r="Y48" s="244">
        <f t="shared" si="31"/>
        <v>110.46999999999991</v>
      </c>
      <c r="AA48" s="518">
        <f t="shared" si="32"/>
        <v>0.3402</v>
      </c>
      <c r="AC48" s="238"/>
    </row>
    <row r="49" spans="2:29" x14ac:dyDescent="0.4">
      <c r="B49" s="92"/>
      <c r="C49" s="197">
        <v>80000</v>
      </c>
      <c r="E49" s="244">
        <f>'2-Inch'!P15</f>
        <v>414.90000000000003</v>
      </c>
      <c r="G49" s="244">
        <f>'2-Inch'!W15</f>
        <v>484.85</v>
      </c>
      <c r="I49" s="244">
        <f t="shared" si="27"/>
        <v>69.949999999999989</v>
      </c>
      <c r="K49" s="518">
        <f t="shared" si="28"/>
        <v>0.1686</v>
      </c>
      <c r="M49" s="244">
        <f t="shared" si="33"/>
        <v>484.85</v>
      </c>
      <c r="N49" s="244"/>
      <c r="O49" s="138">
        <f>'2-Inch'!W35</f>
        <v>555.97</v>
      </c>
      <c r="Q49" s="244">
        <f t="shared" si="29"/>
        <v>71.12</v>
      </c>
      <c r="S49" s="518">
        <f t="shared" si="30"/>
        <v>0.1467</v>
      </c>
      <c r="U49" s="244">
        <f t="shared" si="34"/>
        <v>414.90000000000003</v>
      </c>
      <c r="W49">
        <f t="shared" si="35"/>
        <v>555.97</v>
      </c>
      <c r="Y49" s="244">
        <f t="shared" si="31"/>
        <v>141.07</v>
      </c>
      <c r="AA49" s="518">
        <f t="shared" si="32"/>
        <v>0.34</v>
      </c>
      <c r="AC49" s="238"/>
    </row>
    <row r="50" spans="2:29" x14ac:dyDescent="0.4">
      <c r="B50" s="92"/>
      <c r="C50" s="197">
        <v>100000</v>
      </c>
      <c r="E50" s="244">
        <f>'2-Inch'!P16</f>
        <v>505.1</v>
      </c>
      <c r="G50" s="244">
        <f>'2-Inch'!W16</f>
        <v>590.25</v>
      </c>
      <c r="I50" s="244">
        <f t="shared" si="27"/>
        <v>85.149999999999977</v>
      </c>
      <c r="K50" s="518">
        <f t="shared" si="28"/>
        <v>0.1686</v>
      </c>
      <c r="M50" s="244">
        <f t="shared" si="33"/>
        <v>590.25</v>
      </c>
      <c r="N50" s="244"/>
      <c r="O50" s="138">
        <f>'2-Inch'!W36</f>
        <v>676.77</v>
      </c>
      <c r="Q50" s="244">
        <f t="shared" si="29"/>
        <v>86.519999999999982</v>
      </c>
      <c r="S50" s="518">
        <f t="shared" si="30"/>
        <v>0.14660000000000001</v>
      </c>
      <c r="U50" s="244">
        <f t="shared" si="34"/>
        <v>505.1</v>
      </c>
      <c r="W50">
        <f t="shared" si="35"/>
        <v>676.77</v>
      </c>
      <c r="Y50" s="244">
        <f t="shared" si="31"/>
        <v>171.66999999999996</v>
      </c>
      <c r="AA50" s="518">
        <f t="shared" si="32"/>
        <v>0.33989999999999998</v>
      </c>
      <c r="AC50" s="238"/>
    </row>
    <row r="51" spans="2:29" x14ac:dyDescent="0.4">
      <c r="B51" s="92"/>
      <c r="C51" s="197">
        <v>120000</v>
      </c>
      <c r="E51" s="244">
        <f>'2-Inch'!P17</f>
        <v>580.30000000000007</v>
      </c>
      <c r="G51" s="244">
        <f>'2-Inch'!W17</f>
        <v>678.05</v>
      </c>
      <c r="I51" s="244">
        <f t="shared" si="27"/>
        <v>97.749999999999886</v>
      </c>
      <c r="K51" s="518">
        <f t="shared" si="28"/>
        <v>0.16839999999999999</v>
      </c>
      <c r="M51" s="244">
        <f t="shared" si="33"/>
        <v>678.05</v>
      </c>
      <c r="N51" s="244"/>
      <c r="O51" s="138">
        <f>'2-Inch'!W37</f>
        <v>777.37</v>
      </c>
      <c r="Q51" s="244">
        <f t="shared" si="29"/>
        <v>99.32000000000005</v>
      </c>
      <c r="S51" s="518">
        <f t="shared" si="30"/>
        <v>0.14649999999999999</v>
      </c>
      <c r="U51" s="244">
        <f t="shared" si="34"/>
        <v>580.30000000000007</v>
      </c>
      <c r="W51">
        <f t="shared" si="35"/>
        <v>777.37</v>
      </c>
      <c r="Y51" s="244">
        <f t="shared" si="31"/>
        <v>197.06999999999994</v>
      </c>
      <c r="AA51" s="518">
        <f t="shared" si="32"/>
        <v>0.33960000000000001</v>
      </c>
      <c r="AC51" s="238"/>
    </row>
    <row r="52" spans="2:29" x14ac:dyDescent="0.4">
      <c r="B52" s="92"/>
      <c r="C52" s="197">
        <v>140000</v>
      </c>
      <c r="E52" s="244">
        <f>'2-Inch'!P18</f>
        <v>655.5</v>
      </c>
      <c r="G52" s="244">
        <f>'2-Inch'!W18</f>
        <v>765.85</v>
      </c>
      <c r="I52" s="244">
        <f t="shared" si="27"/>
        <v>110.35000000000002</v>
      </c>
      <c r="K52" s="518">
        <f t="shared" si="28"/>
        <v>0.16830000000000001</v>
      </c>
      <c r="M52" s="244">
        <f t="shared" si="33"/>
        <v>765.85</v>
      </c>
      <c r="N52" s="244"/>
      <c r="O52" s="138">
        <f>'2-Inch'!W38</f>
        <v>877.97</v>
      </c>
      <c r="Q52" s="244">
        <f t="shared" si="29"/>
        <v>112.12</v>
      </c>
      <c r="S52" s="518">
        <f t="shared" si="30"/>
        <v>0.1464</v>
      </c>
      <c r="U52" s="244">
        <f t="shared" si="34"/>
        <v>655.5</v>
      </c>
      <c r="W52">
        <f t="shared" si="35"/>
        <v>877.97</v>
      </c>
      <c r="Y52" s="244">
        <f t="shared" si="31"/>
        <v>222.47000000000003</v>
      </c>
      <c r="AA52" s="518">
        <f t="shared" si="32"/>
        <v>0.33939999999999998</v>
      </c>
      <c r="AC52" s="238"/>
    </row>
    <row r="53" spans="2:29" x14ac:dyDescent="0.4">
      <c r="B53" s="92"/>
      <c r="C53" s="197"/>
      <c r="I53" s="244"/>
      <c r="K53" s="518"/>
      <c r="N53" s="244"/>
      <c r="Q53" s="244"/>
      <c r="S53" s="518"/>
      <c r="Y53" s="244"/>
      <c r="AA53" s="518"/>
      <c r="AC53" s="238"/>
    </row>
    <row r="54" spans="2:29" x14ac:dyDescent="0.4">
      <c r="B54" s="92"/>
      <c r="C54" s="116"/>
      <c r="E54" s="571" t="s">
        <v>229</v>
      </c>
      <c r="G54" s="570" t="s">
        <v>698</v>
      </c>
      <c r="I54" s="257"/>
      <c r="K54" s="515"/>
      <c r="M54" s="570" t="s">
        <v>698</v>
      </c>
      <c r="O54" s="570" t="s">
        <v>699</v>
      </c>
      <c r="Q54" s="257"/>
      <c r="S54" s="515"/>
      <c r="U54" s="571" t="s">
        <v>229</v>
      </c>
      <c r="W54" s="570" t="s">
        <v>57</v>
      </c>
      <c r="Y54" s="257"/>
      <c r="AA54" s="515"/>
      <c r="AC54" s="238"/>
    </row>
    <row r="55" spans="2:29" x14ac:dyDescent="0.4">
      <c r="B55" s="92"/>
      <c r="C55" s="517" t="s">
        <v>338</v>
      </c>
      <c r="E55" s="245" t="s">
        <v>230</v>
      </c>
      <c r="G55" s="245" t="s">
        <v>230</v>
      </c>
      <c r="I55" s="243" t="s">
        <v>231</v>
      </c>
      <c r="K55" s="516" t="s">
        <v>232</v>
      </c>
      <c r="M55" s="245" t="s">
        <v>230</v>
      </c>
      <c r="O55" s="245" t="s">
        <v>230</v>
      </c>
      <c r="Q55" s="243" t="s">
        <v>231</v>
      </c>
      <c r="S55" s="516" t="s">
        <v>232</v>
      </c>
      <c r="U55" s="245" t="s">
        <v>230</v>
      </c>
      <c r="W55" s="245" t="s">
        <v>230</v>
      </c>
      <c r="Y55" s="243" t="s">
        <v>231</v>
      </c>
      <c r="AA55" s="516" t="s">
        <v>232</v>
      </c>
      <c r="AC55" s="238"/>
    </row>
    <row r="56" spans="2:29" x14ac:dyDescent="0.4">
      <c r="B56" s="92"/>
      <c r="C56" s="197">
        <v>60000</v>
      </c>
      <c r="E56" s="244">
        <f>'4-Inch'!P11</f>
        <v>377.71000000000004</v>
      </c>
      <c r="G56" s="244">
        <f>'4-Inch'!W11</f>
        <v>441.63000000000005</v>
      </c>
      <c r="I56" s="244">
        <f t="shared" ref="I56:I60" si="36">G56-E56</f>
        <v>63.920000000000016</v>
      </c>
      <c r="K56" s="518">
        <f t="shared" ref="K56:K60" si="37">ROUND(I56/E56,4)</f>
        <v>0.16919999999999999</v>
      </c>
      <c r="M56" s="244">
        <f t="shared" ref="M56:M60" si="38">G56</f>
        <v>441.63000000000005</v>
      </c>
      <c r="N56" s="244"/>
      <c r="O56" s="138">
        <f>'4-Inch'!W28</f>
        <v>506.43999999999994</v>
      </c>
      <c r="Q56" s="244">
        <f t="shared" ref="Q56:Q60" si="39">O56-M56</f>
        <v>64.809999999999889</v>
      </c>
      <c r="S56" s="518">
        <f t="shared" ref="S56:S60" si="40">ROUND(Q56/M56,4)</f>
        <v>0.14680000000000001</v>
      </c>
      <c r="U56" s="244">
        <f t="shared" ref="U56:U60" si="41">E56</f>
        <v>377.71000000000004</v>
      </c>
      <c r="W56">
        <f t="shared" ref="W56:W60" si="42">O56</f>
        <v>506.43999999999994</v>
      </c>
      <c r="Y56" s="244">
        <f t="shared" ref="Y56:Y60" si="43">W56-U56</f>
        <v>128.7299999999999</v>
      </c>
      <c r="AA56" s="518">
        <f t="shared" ref="AA56:AA60" si="44">ROUND(Y56/U56,4)</f>
        <v>0.34079999999999999</v>
      </c>
      <c r="AC56" s="238"/>
    </row>
    <row r="57" spans="2:29" x14ac:dyDescent="0.4">
      <c r="B57" s="92"/>
      <c r="C57" s="197">
        <v>80000</v>
      </c>
      <c r="E57" s="244">
        <f>'4-Inch'!P12</f>
        <v>467.91</v>
      </c>
      <c r="G57" s="244">
        <f>'4-Inch'!W12</f>
        <v>547.03000000000009</v>
      </c>
      <c r="I57" s="244">
        <f t="shared" si="36"/>
        <v>79.120000000000061</v>
      </c>
      <c r="K57" s="518">
        <f t="shared" si="37"/>
        <v>0.1691</v>
      </c>
      <c r="M57" s="244">
        <f t="shared" si="38"/>
        <v>547.03000000000009</v>
      </c>
      <c r="N57" s="244"/>
      <c r="O57" s="138">
        <f>'4-Inch'!W29</f>
        <v>627.24</v>
      </c>
      <c r="Q57" s="244">
        <f t="shared" si="39"/>
        <v>80.209999999999923</v>
      </c>
      <c r="S57" s="518">
        <f t="shared" si="40"/>
        <v>0.14660000000000001</v>
      </c>
      <c r="U57" s="244">
        <f t="shared" si="41"/>
        <v>467.91</v>
      </c>
      <c r="W57">
        <f t="shared" si="42"/>
        <v>627.24</v>
      </c>
      <c r="Y57" s="244">
        <f t="shared" si="43"/>
        <v>159.32999999999998</v>
      </c>
      <c r="AA57" s="518">
        <f t="shared" si="44"/>
        <v>0.34050000000000002</v>
      </c>
      <c r="AC57" s="238"/>
    </row>
    <row r="58" spans="2:29" x14ac:dyDescent="0.4">
      <c r="B58" s="92"/>
      <c r="C58" s="197">
        <v>100000</v>
      </c>
      <c r="E58" s="244">
        <f>'4-Inch'!P13</f>
        <v>558.11</v>
      </c>
      <c r="G58" s="244">
        <f>'4-Inch'!W13</f>
        <v>652.43000000000006</v>
      </c>
      <c r="I58" s="244">
        <f t="shared" si="36"/>
        <v>94.32000000000005</v>
      </c>
      <c r="K58" s="518">
        <f t="shared" si="37"/>
        <v>0.16900000000000001</v>
      </c>
      <c r="M58" s="244">
        <f t="shared" si="38"/>
        <v>652.43000000000006</v>
      </c>
      <c r="N58" s="244"/>
      <c r="O58" s="138">
        <f>'4-Inch'!W30</f>
        <v>748.04</v>
      </c>
      <c r="Q58" s="244">
        <f t="shared" si="39"/>
        <v>95.6099999999999</v>
      </c>
      <c r="S58" s="518">
        <f t="shared" si="40"/>
        <v>0.14649999999999999</v>
      </c>
      <c r="U58" s="244">
        <f t="shared" si="41"/>
        <v>558.11</v>
      </c>
      <c r="W58">
        <f t="shared" si="42"/>
        <v>748.04</v>
      </c>
      <c r="Y58" s="244">
        <f t="shared" si="43"/>
        <v>189.92999999999995</v>
      </c>
      <c r="AA58" s="518">
        <f t="shared" si="44"/>
        <v>0.34029999999999999</v>
      </c>
      <c r="AC58" s="238"/>
    </row>
    <row r="59" spans="2:29" x14ac:dyDescent="0.4">
      <c r="B59" s="92"/>
      <c r="C59" s="197">
        <v>120000</v>
      </c>
      <c r="E59" s="244">
        <f>'4-Inch'!P14</f>
        <v>633.31000000000006</v>
      </c>
      <c r="G59" s="244">
        <f>'4-Inch'!W14</f>
        <v>740.23</v>
      </c>
      <c r="I59" s="244">
        <f t="shared" si="36"/>
        <v>106.91999999999996</v>
      </c>
      <c r="K59" s="518">
        <f t="shared" si="37"/>
        <v>0.16880000000000001</v>
      </c>
      <c r="M59" s="244">
        <f t="shared" si="38"/>
        <v>740.23</v>
      </c>
      <c r="N59" s="244"/>
      <c r="O59" s="138">
        <f>'4-Inch'!W31</f>
        <v>848.64</v>
      </c>
      <c r="Q59" s="244">
        <f t="shared" si="39"/>
        <v>108.40999999999997</v>
      </c>
      <c r="S59" s="518">
        <f t="shared" si="40"/>
        <v>0.14649999999999999</v>
      </c>
      <c r="U59" s="244">
        <f t="shared" si="41"/>
        <v>633.31000000000006</v>
      </c>
      <c r="W59">
        <f t="shared" si="42"/>
        <v>848.64</v>
      </c>
      <c r="Y59" s="244">
        <f t="shared" si="43"/>
        <v>215.32999999999993</v>
      </c>
      <c r="AA59" s="518">
        <f t="shared" si="44"/>
        <v>0.34</v>
      </c>
      <c r="AC59" s="238"/>
    </row>
    <row r="60" spans="2:29" x14ac:dyDescent="0.4">
      <c r="B60" s="92"/>
      <c r="C60" s="197">
        <v>140000</v>
      </c>
      <c r="E60" s="244">
        <f>'4-Inch'!P15</f>
        <v>708.51</v>
      </c>
      <c r="G60" s="244">
        <f>'4-Inch'!W15</f>
        <v>828.03000000000009</v>
      </c>
      <c r="I60" s="244">
        <f t="shared" si="36"/>
        <v>119.5200000000001</v>
      </c>
      <c r="K60" s="518">
        <f t="shared" si="37"/>
        <v>0.16869999999999999</v>
      </c>
      <c r="M60" s="244">
        <f t="shared" si="38"/>
        <v>828.03000000000009</v>
      </c>
      <c r="N60" s="244"/>
      <c r="O60" s="138">
        <f>'4-Inch'!W32</f>
        <v>949.24</v>
      </c>
      <c r="Q60" s="244">
        <f t="shared" si="39"/>
        <v>121.20999999999992</v>
      </c>
      <c r="S60" s="518">
        <f t="shared" si="40"/>
        <v>0.1464</v>
      </c>
      <c r="U60" s="244">
        <f t="shared" si="41"/>
        <v>708.51</v>
      </c>
      <c r="W60">
        <f t="shared" si="42"/>
        <v>949.24</v>
      </c>
      <c r="Y60" s="244">
        <f t="shared" si="43"/>
        <v>240.73000000000002</v>
      </c>
      <c r="AA60" s="518">
        <f t="shared" si="44"/>
        <v>0.33979999999999999</v>
      </c>
      <c r="AC60" s="238"/>
    </row>
    <row r="61" spans="2:29" x14ac:dyDescent="0.4">
      <c r="B61" s="92"/>
      <c r="C61" s="197"/>
      <c r="I61" s="244"/>
      <c r="K61" s="518"/>
      <c r="N61" s="244"/>
      <c r="Q61" s="244"/>
      <c r="S61" s="518"/>
      <c r="Y61" s="244"/>
      <c r="AA61" s="518"/>
      <c r="AC61" s="238"/>
    </row>
    <row r="62" spans="2:29" x14ac:dyDescent="0.4">
      <c r="B62" s="92"/>
      <c r="C62" s="197"/>
      <c r="E62" s="571" t="s">
        <v>229</v>
      </c>
      <c r="G62" s="570" t="s">
        <v>698</v>
      </c>
      <c r="I62" s="257"/>
      <c r="K62" s="515"/>
      <c r="M62" s="570" t="s">
        <v>698</v>
      </c>
      <c r="O62" s="570" t="s">
        <v>699</v>
      </c>
      <c r="Q62" s="257"/>
      <c r="S62" s="515"/>
      <c r="U62" s="571" t="s">
        <v>229</v>
      </c>
      <c r="W62" s="570" t="s">
        <v>57</v>
      </c>
      <c r="Y62" s="257"/>
      <c r="AA62" s="515"/>
      <c r="AC62" s="238"/>
    </row>
    <row r="63" spans="2:29" x14ac:dyDescent="0.4">
      <c r="B63" s="92"/>
      <c r="C63" s="517" t="s">
        <v>339</v>
      </c>
      <c r="E63" s="245" t="s">
        <v>230</v>
      </c>
      <c r="G63" s="245" t="s">
        <v>230</v>
      </c>
      <c r="I63" s="243" t="s">
        <v>231</v>
      </c>
      <c r="K63" s="516" t="s">
        <v>232</v>
      </c>
      <c r="M63" s="245" t="s">
        <v>230</v>
      </c>
      <c r="O63" s="245" t="s">
        <v>230</v>
      </c>
      <c r="Q63" s="243" t="s">
        <v>231</v>
      </c>
      <c r="S63" s="516" t="s">
        <v>232</v>
      </c>
      <c r="U63" s="245" t="s">
        <v>230</v>
      </c>
      <c r="W63" s="245" t="s">
        <v>230</v>
      </c>
      <c r="Y63" s="243" t="s">
        <v>231</v>
      </c>
      <c r="AA63" s="516" t="s">
        <v>232</v>
      </c>
      <c r="AC63" s="238"/>
    </row>
    <row r="64" spans="2:29" x14ac:dyDescent="0.4">
      <c r="B64" s="92"/>
      <c r="C64" s="197">
        <v>120000</v>
      </c>
      <c r="E64" s="244">
        <f>'6-Inch'!O12</f>
        <v>760.31000000000006</v>
      </c>
      <c r="G64" s="244">
        <f>'6-Inch'!U12</f>
        <v>889.09999999999991</v>
      </c>
      <c r="I64" s="244">
        <f t="shared" ref="I64:I68" si="45">G64-E64</f>
        <v>128.78999999999985</v>
      </c>
      <c r="K64" s="518">
        <f t="shared" ref="K64:K68" si="46">ROUND(I64/E64,4)</f>
        <v>0.1694</v>
      </c>
      <c r="M64" s="244">
        <f t="shared" ref="M64:M68" si="47">G64</f>
        <v>889.09999999999991</v>
      </c>
      <c r="N64" s="244"/>
      <c r="O64" s="138">
        <f>'6-Inch'!U30</f>
        <v>1019.36</v>
      </c>
      <c r="Q64" s="244">
        <f t="shared" ref="Q64:Q68" si="48">O64-M64</f>
        <v>130.2600000000001</v>
      </c>
      <c r="S64" s="518">
        <f t="shared" ref="S64:S68" si="49">ROUND(Q64/M64,4)</f>
        <v>0.14649999999999999</v>
      </c>
      <c r="U64" s="244">
        <f t="shared" ref="U64:U68" si="50">E64</f>
        <v>760.31000000000006</v>
      </c>
      <c r="W64">
        <f t="shared" ref="W64:W68" si="51">O64</f>
        <v>1019.36</v>
      </c>
      <c r="Y64" s="244">
        <f t="shared" ref="Y64:Y68" si="52">W64-U64</f>
        <v>259.04999999999995</v>
      </c>
      <c r="AA64" s="518">
        <f t="shared" ref="AA64:AA68" si="53">ROUND(Y64/U64,4)</f>
        <v>0.3407</v>
      </c>
      <c r="AC64" s="238"/>
    </row>
    <row r="65" spans="2:29" x14ac:dyDescent="0.4">
      <c r="B65" s="92"/>
      <c r="C65" s="197">
        <v>140000</v>
      </c>
      <c r="E65" s="244">
        <f>'6-Inch'!O13</f>
        <v>835.51</v>
      </c>
      <c r="G65" s="244">
        <f>'6-Inch'!U13</f>
        <v>976.9</v>
      </c>
      <c r="I65" s="244">
        <f t="shared" si="45"/>
        <v>141.38999999999999</v>
      </c>
      <c r="K65" s="518">
        <f t="shared" si="46"/>
        <v>0.16919999999999999</v>
      </c>
      <c r="M65" s="244">
        <f t="shared" si="47"/>
        <v>976.9</v>
      </c>
      <c r="N65" s="244"/>
      <c r="O65" s="138">
        <f>'6-Inch'!U31</f>
        <v>1119.96</v>
      </c>
      <c r="Q65" s="244">
        <f t="shared" si="48"/>
        <v>143.06000000000006</v>
      </c>
      <c r="S65" s="518">
        <f t="shared" si="49"/>
        <v>0.1464</v>
      </c>
      <c r="U65" s="244">
        <f t="shared" si="50"/>
        <v>835.51</v>
      </c>
      <c r="W65">
        <f t="shared" si="51"/>
        <v>1119.96</v>
      </c>
      <c r="Y65" s="244">
        <f t="shared" si="52"/>
        <v>284.45000000000005</v>
      </c>
      <c r="AA65" s="518">
        <f t="shared" si="53"/>
        <v>0.34050000000000002</v>
      </c>
      <c r="AC65" s="238"/>
    </row>
    <row r="66" spans="2:29" x14ac:dyDescent="0.4">
      <c r="B66" s="92"/>
      <c r="C66" s="197">
        <v>160000</v>
      </c>
      <c r="E66" s="244">
        <f>'6-Inch'!O14</f>
        <v>910.71</v>
      </c>
      <c r="G66" s="244">
        <f>'6-Inch'!U14</f>
        <v>1064.7</v>
      </c>
      <c r="I66" s="244">
        <f t="shared" si="45"/>
        <v>153.99</v>
      </c>
      <c r="K66" s="518">
        <f t="shared" si="46"/>
        <v>0.1691</v>
      </c>
      <c r="M66" s="244">
        <f t="shared" si="47"/>
        <v>1064.7</v>
      </c>
      <c r="N66" s="244"/>
      <c r="O66" s="138">
        <f>'6-Inch'!U32</f>
        <v>1220.56</v>
      </c>
      <c r="Q66" s="244">
        <f t="shared" si="48"/>
        <v>155.8599999999999</v>
      </c>
      <c r="S66" s="518">
        <f t="shared" si="49"/>
        <v>0.1464</v>
      </c>
      <c r="U66" s="244">
        <f t="shared" si="50"/>
        <v>910.71</v>
      </c>
      <c r="W66">
        <f t="shared" si="51"/>
        <v>1220.56</v>
      </c>
      <c r="Y66" s="244">
        <f t="shared" si="52"/>
        <v>309.84999999999991</v>
      </c>
      <c r="AA66" s="518">
        <f t="shared" si="53"/>
        <v>0.3402</v>
      </c>
      <c r="AC66" s="238"/>
    </row>
    <row r="67" spans="2:29" x14ac:dyDescent="0.4">
      <c r="B67" s="92"/>
      <c r="C67" s="197">
        <v>180000</v>
      </c>
      <c r="E67" s="244">
        <f>'6-Inch'!O15</f>
        <v>985.91000000000008</v>
      </c>
      <c r="G67" s="244">
        <f>'6-Inch'!U15</f>
        <v>1152.5</v>
      </c>
      <c r="I67" s="244">
        <f t="shared" si="45"/>
        <v>166.58999999999992</v>
      </c>
      <c r="K67" s="518">
        <f t="shared" si="46"/>
        <v>0.16900000000000001</v>
      </c>
      <c r="M67" s="244">
        <f t="shared" si="47"/>
        <v>1152.5</v>
      </c>
      <c r="N67" s="244"/>
      <c r="O67" s="138">
        <f>'6-Inch'!U33</f>
        <v>1321.16</v>
      </c>
      <c r="Q67" s="244">
        <f t="shared" si="48"/>
        <v>168.66000000000008</v>
      </c>
      <c r="S67" s="518">
        <f t="shared" si="49"/>
        <v>0.14630000000000001</v>
      </c>
      <c r="U67" s="244">
        <f t="shared" si="50"/>
        <v>985.91000000000008</v>
      </c>
      <c r="W67">
        <f t="shared" si="51"/>
        <v>1321.16</v>
      </c>
      <c r="Y67" s="244">
        <f t="shared" si="52"/>
        <v>335.25</v>
      </c>
      <c r="AA67" s="518">
        <f t="shared" si="53"/>
        <v>0.34</v>
      </c>
      <c r="AC67" s="238"/>
    </row>
    <row r="68" spans="2:29" x14ac:dyDescent="0.4">
      <c r="B68" s="92"/>
      <c r="C68" s="197">
        <v>200000</v>
      </c>
      <c r="E68" s="244">
        <f>'6-Inch'!O16</f>
        <v>1061.1100000000001</v>
      </c>
      <c r="G68" s="244">
        <f>'6-Inch'!U16</f>
        <v>1240.3</v>
      </c>
      <c r="I68" s="244">
        <f t="shared" si="45"/>
        <v>179.18999999999983</v>
      </c>
      <c r="K68" s="518">
        <f t="shared" si="46"/>
        <v>0.16889999999999999</v>
      </c>
      <c r="M68" s="244">
        <f t="shared" si="47"/>
        <v>1240.3</v>
      </c>
      <c r="N68" s="244"/>
      <c r="O68" s="138">
        <f>'6-Inch'!U34</f>
        <v>1421.76</v>
      </c>
      <c r="Q68" s="244">
        <f t="shared" si="48"/>
        <v>181.46000000000004</v>
      </c>
      <c r="S68" s="518">
        <f t="shared" si="49"/>
        <v>0.14630000000000001</v>
      </c>
      <c r="U68" s="244">
        <f t="shared" si="50"/>
        <v>1061.1100000000001</v>
      </c>
      <c r="W68">
        <f t="shared" si="51"/>
        <v>1421.76</v>
      </c>
      <c r="Y68" s="244">
        <f t="shared" si="52"/>
        <v>360.64999999999986</v>
      </c>
      <c r="AA68" s="518">
        <f t="shared" si="53"/>
        <v>0.33989999999999998</v>
      </c>
      <c r="AC68" s="238"/>
    </row>
    <row r="69" spans="2:29" x14ac:dyDescent="0.4">
      <c r="B69" s="92"/>
      <c r="C69" s="197"/>
      <c r="I69" s="244"/>
      <c r="K69" s="518"/>
      <c r="N69" s="244"/>
      <c r="Q69" s="244"/>
      <c r="S69" s="518"/>
      <c r="Y69" s="244"/>
      <c r="AA69" s="518"/>
      <c r="AC69" s="238"/>
    </row>
    <row r="70" spans="2:29" x14ac:dyDescent="0.4">
      <c r="B70" s="92"/>
      <c r="C70" s="517"/>
      <c r="E70" s="571" t="s">
        <v>229</v>
      </c>
      <c r="G70" s="570" t="s">
        <v>698</v>
      </c>
      <c r="I70" s="257"/>
      <c r="K70" s="515"/>
      <c r="M70" s="570" t="s">
        <v>698</v>
      </c>
      <c r="O70" s="570" t="s">
        <v>699</v>
      </c>
      <c r="Q70" s="257"/>
      <c r="S70" s="515"/>
      <c r="U70" s="571" t="s">
        <v>229</v>
      </c>
      <c r="W70" s="570" t="s">
        <v>57</v>
      </c>
      <c r="Y70" s="257"/>
      <c r="AA70" s="515"/>
      <c r="AC70" s="238"/>
    </row>
    <row r="71" spans="2:29" x14ac:dyDescent="0.4">
      <c r="B71" s="92"/>
      <c r="C71" s="116" t="s">
        <v>460</v>
      </c>
      <c r="E71" s="245" t="s">
        <v>230</v>
      </c>
      <c r="G71" s="245" t="s">
        <v>230</v>
      </c>
      <c r="I71" s="243" t="s">
        <v>231</v>
      </c>
      <c r="K71" s="516" t="s">
        <v>232</v>
      </c>
      <c r="M71" s="245" t="s">
        <v>230</v>
      </c>
      <c r="O71" s="245" t="s">
        <v>230</v>
      </c>
      <c r="Q71" s="243" t="s">
        <v>231</v>
      </c>
      <c r="S71" s="516" t="s">
        <v>232</v>
      </c>
      <c r="U71" s="245" t="s">
        <v>230</v>
      </c>
      <c r="W71" s="245" t="s">
        <v>230</v>
      </c>
      <c r="Y71" s="243" t="s">
        <v>231</v>
      </c>
      <c r="AA71" s="516" t="s">
        <v>232</v>
      </c>
      <c r="AC71" s="238"/>
    </row>
    <row r="72" spans="2:29" x14ac:dyDescent="0.4">
      <c r="B72" s="92"/>
      <c r="C72" s="592" t="s">
        <v>460</v>
      </c>
      <c r="E72" s="571"/>
      <c r="G72" s="571"/>
      <c r="I72" s="230"/>
      <c r="K72" s="585"/>
      <c r="M72" s="571"/>
      <c r="O72" s="571"/>
      <c r="Q72" s="230"/>
      <c r="S72" s="585"/>
      <c r="U72" s="571"/>
      <c r="W72" s="571"/>
      <c r="Y72" s="230"/>
      <c r="AA72" s="585"/>
      <c r="AC72" s="238"/>
    </row>
    <row r="73" spans="2:29" x14ac:dyDescent="0.4">
      <c r="B73" s="92"/>
      <c r="C73" s="588" t="s">
        <v>716</v>
      </c>
      <c r="E73" s="571">
        <f>'Yr 1 Rate Comp'!F59</f>
        <v>17.53</v>
      </c>
      <c r="G73" s="571">
        <f>'Yr 1 Rate Comp'!L59</f>
        <v>20.51</v>
      </c>
      <c r="I73" s="244">
        <f t="shared" ref="I73:I80" si="54">G73-E73</f>
        <v>2.9800000000000004</v>
      </c>
      <c r="K73" s="518">
        <f t="shared" ref="K73:K80" si="55">ROUND(I73/E73,4)</f>
        <v>0.17</v>
      </c>
      <c r="M73" s="571">
        <f>G73</f>
        <v>20.51</v>
      </c>
      <c r="O73" s="571">
        <f>'YR 2 Rate Comp'!L59</f>
        <v>23.525000000000002</v>
      </c>
      <c r="Q73" s="244">
        <f t="shared" ref="Q73:Q80" si="56">O73-M73</f>
        <v>3.0150000000000006</v>
      </c>
      <c r="S73" s="518">
        <f t="shared" ref="S73:S77" si="57">ROUND(Q73/M73,4)</f>
        <v>0.14699999999999999</v>
      </c>
      <c r="U73" s="571">
        <f>E73</f>
        <v>17.53</v>
      </c>
      <c r="W73" s="571">
        <f>O73</f>
        <v>23.525000000000002</v>
      </c>
      <c r="Y73" s="244">
        <f t="shared" ref="Y73:Y80" si="58">W73-U73</f>
        <v>5.995000000000001</v>
      </c>
      <c r="AA73" s="518">
        <f>ROUND(Y73/U73,4)</f>
        <v>0.34200000000000003</v>
      </c>
      <c r="AC73" s="238"/>
    </row>
    <row r="74" spans="2:29" x14ac:dyDescent="0.4">
      <c r="B74" s="92"/>
      <c r="C74" s="588" t="s">
        <v>717</v>
      </c>
      <c r="E74" s="571">
        <f>'Yr 1 Rate Comp'!F60</f>
        <v>26.2</v>
      </c>
      <c r="G74" s="571">
        <f>'Yr 1 Rate Comp'!L60</f>
        <v>30.65</v>
      </c>
      <c r="I74" s="244">
        <f t="shared" si="54"/>
        <v>4.4499999999999993</v>
      </c>
      <c r="K74" s="518">
        <f t="shared" si="55"/>
        <v>0.16980000000000001</v>
      </c>
      <c r="M74" s="571">
        <f t="shared" ref="M74:M80" si="59">G74</f>
        <v>30.65</v>
      </c>
      <c r="O74" s="571">
        <f>'YR 2 Rate Comp'!L60</f>
        <v>35.155999999999999</v>
      </c>
      <c r="Q74" s="244">
        <f t="shared" si="56"/>
        <v>4.5060000000000002</v>
      </c>
      <c r="S74" s="518">
        <f t="shared" si="57"/>
        <v>0.14699999999999999</v>
      </c>
      <c r="U74" s="571">
        <f t="shared" ref="U74:U80" si="60">E74</f>
        <v>26.2</v>
      </c>
      <c r="W74" s="571">
        <f t="shared" ref="W74:W80" si="61">O74</f>
        <v>35.155999999999999</v>
      </c>
      <c r="Y74" s="244">
        <f t="shared" si="58"/>
        <v>8.9559999999999995</v>
      </c>
      <c r="AA74" s="518">
        <f t="shared" ref="AA74:AA77" si="62">ROUND(Y74/U74,4)</f>
        <v>0.34179999999999999</v>
      </c>
      <c r="AC74" s="238"/>
    </row>
    <row r="75" spans="2:29" x14ac:dyDescent="0.4">
      <c r="B75" s="92"/>
      <c r="C75" s="588" t="s">
        <v>357</v>
      </c>
      <c r="E75" s="571">
        <f>'Yr 1 Rate Comp'!F61</f>
        <v>68.05</v>
      </c>
      <c r="G75" s="571">
        <f>'Yr 1 Rate Comp'!L61</f>
        <v>79.62</v>
      </c>
      <c r="I75" s="244">
        <f t="shared" si="54"/>
        <v>11.570000000000007</v>
      </c>
      <c r="K75" s="518">
        <f t="shared" si="55"/>
        <v>0.17</v>
      </c>
      <c r="M75" s="571">
        <f t="shared" si="59"/>
        <v>79.62</v>
      </c>
      <c r="O75" s="571">
        <f>'YR 2 Rate Comp'!L61</f>
        <v>91.324000000000012</v>
      </c>
      <c r="Q75" s="244">
        <f t="shared" si="56"/>
        <v>11.704000000000008</v>
      </c>
      <c r="S75" s="518">
        <f t="shared" si="57"/>
        <v>0.14699999999999999</v>
      </c>
      <c r="U75" s="571">
        <f t="shared" si="60"/>
        <v>68.05</v>
      </c>
      <c r="W75" s="571">
        <f t="shared" si="61"/>
        <v>91.324000000000012</v>
      </c>
      <c r="Y75" s="244">
        <f t="shared" si="58"/>
        <v>23.274000000000015</v>
      </c>
      <c r="AA75" s="518">
        <f t="shared" si="62"/>
        <v>0.34200000000000003</v>
      </c>
      <c r="AC75" s="238"/>
    </row>
    <row r="76" spans="2:29" x14ac:dyDescent="0.4">
      <c r="B76" s="92"/>
      <c r="C76" s="588" t="s">
        <v>345</v>
      </c>
      <c r="E76" s="571">
        <f>'Yr 1 Rate Comp'!F62</f>
        <v>147.91999999999999</v>
      </c>
      <c r="G76" s="571">
        <f>'Yr 1 Rate Comp'!L62</f>
        <v>173.07</v>
      </c>
      <c r="I76" s="244">
        <f t="shared" si="54"/>
        <v>25.150000000000006</v>
      </c>
      <c r="K76" s="518">
        <f t="shared" si="55"/>
        <v>0.17</v>
      </c>
      <c r="M76" s="571">
        <f t="shared" si="59"/>
        <v>173.07</v>
      </c>
      <c r="O76" s="571">
        <f>'YR 2 Rate Comp'!L62</f>
        <v>198.511</v>
      </c>
      <c r="Q76" s="244">
        <f t="shared" si="56"/>
        <v>25.441000000000003</v>
      </c>
      <c r="S76" s="518">
        <f t="shared" si="57"/>
        <v>0.14699999999999999</v>
      </c>
      <c r="U76" s="571">
        <f t="shared" si="60"/>
        <v>147.91999999999999</v>
      </c>
      <c r="W76" s="571">
        <f t="shared" si="61"/>
        <v>198.511</v>
      </c>
      <c r="Y76" s="244">
        <f t="shared" si="58"/>
        <v>50.591000000000008</v>
      </c>
      <c r="AA76" s="518">
        <f t="shared" si="62"/>
        <v>0.34200000000000003</v>
      </c>
      <c r="AC76" s="238"/>
    </row>
    <row r="77" spans="2:29" x14ac:dyDescent="0.4">
      <c r="B77" s="92"/>
      <c r="C77" s="588" t="s">
        <v>346</v>
      </c>
      <c r="E77" s="571">
        <f>'Yr 1 Rate Comp'!F63</f>
        <v>340.77</v>
      </c>
      <c r="G77" s="571">
        <f>'Yr 1 Rate Comp'!L63</f>
        <v>398.7</v>
      </c>
      <c r="I77" s="244">
        <f t="shared" si="54"/>
        <v>57.930000000000007</v>
      </c>
      <c r="K77" s="518">
        <f t="shared" si="55"/>
        <v>0.17</v>
      </c>
      <c r="M77" s="571">
        <f t="shared" si="59"/>
        <v>398.7</v>
      </c>
      <c r="O77" s="571">
        <f>'YR 2 Rate Comp'!L63</f>
        <v>457.30899999999997</v>
      </c>
      <c r="Q77" s="244">
        <f t="shared" si="56"/>
        <v>58.60899999999998</v>
      </c>
      <c r="S77" s="518">
        <f t="shared" si="57"/>
        <v>0.14699999999999999</v>
      </c>
      <c r="U77" s="571">
        <f t="shared" si="60"/>
        <v>340.77</v>
      </c>
      <c r="W77" s="571">
        <f t="shared" si="61"/>
        <v>457.30899999999997</v>
      </c>
      <c r="Y77" s="244">
        <f t="shared" si="58"/>
        <v>116.53899999999999</v>
      </c>
      <c r="AA77" s="518">
        <f t="shared" si="62"/>
        <v>0.34200000000000003</v>
      </c>
      <c r="AC77" s="238"/>
    </row>
    <row r="78" spans="2:29" x14ac:dyDescent="0.4">
      <c r="B78" s="92"/>
      <c r="C78" s="588" t="s">
        <v>710</v>
      </c>
      <c r="E78" s="571">
        <f>'Yr 1 Rate Comp'!F64</f>
        <v>658.17</v>
      </c>
      <c r="G78" s="571">
        <f>'Yr 1 Rate Comp'!L64</f>
        <v>770.06</v>
      </c>
      <c r="I78" s="244">
        <f t="shared" si="54"/>
        <v>111.88999999999999</v>
      </c>
      <c r="K78" s="518">
        <f t="shared" si="55"/>
        <v>0.17</v>
      </c>
      <c r="M78" s="571">
        <f t="shared" si="59"/>
        <v>770.06</v>
      </c>
      <c r="O78" s="571">
        <f>'YR 2 Rate Comp'!L64</f>
        <v>883.2589999999999</v>
      </c>
      <c r="Q78" s="244">
        <f t="shared" si="56"/>
        <v>113.19899999999996</v>
      </c>
      <c r="S78" s="518">
        <f>ROUND(Q78/M78,4)</f>
        <v>0.14699999999999999</v>
      </c>
      <c r="U78" s="244">
        <f t="shared" si="60"/>
        <v>658.17</v>
      </c>
      <c r="W78">
        <f t="shared" si="61"/>
        <v>883.2589999999999</v>
      </c>
      <c r="Y78" s="244">
        <f t="shared" si="58"/>
        <v>225.08899999999994</v>
      </c>
      <c r="AA78" s="518">
        <f>ROUND(Y78/U78,4)</f>
        <v>0.34200000000000003</v>
      </c>
      <c r="AC78" s="238"/>
    </row>
    <row r="79" spans="2:29" x14ac:dyDescent="0.4">
      <c r="B79" s="92"/>
      <c r="C79" s="588" t="s">
        <v>718</v>
      </c>
      <c r="E79" s="571">
        <f>'Yr 1 Rate Comp'!F65</f>
        <v>1139.7</v>
      </c>
      <c r="G79" s="571">
        <f>'Yr 1 Rate Comp'!L65</f>
        <v>1333.45</v>
      </c>
      <c r="I79" s="244">
        <f t="shared" si="54"/>
        <v>193.75</v>
      </c>
      <c r="K79" s="518">
        <f t="shared" si="55"/>
        <v>0.17</v>
      </c>
      <c r="M79" s="571">
        <f t="shared" si="59"/>
        <v>1333.45</v>
      </c>
      <c r="O79" s="571">
        <f>'YR 2 Rate Comp'!L65</f>
        <v>1529.4670000000001</v>
      </c>
      <c r="Q79" s="244">
        <f t="shared" si="56"/>
        <v>196.01700000000005</v>
      </c>
      <c r="S79" s="518">
        <f>ROUND(Q79/M79,4)</f>
        <v>0.14699999999999999</v>
      </c>
      <c r="U79" s="244">
        <f t="shared" si="60"/>
        <v>1139.7</v>
      </c>
      <c r="W79">
        <f t="shared" si="61"/>
        <v>1529.4670000000001</v>
      </c>
      <c r="Y79" s="244">
        <f t="shared" si="58"/>
        <v>389.76700000000005</v>
      </c>
      <c r="AA79" s="518">
        <f>ROUND(Y79/U79,4)</f>
        <v>0.34200000000000003</v>
      </c>
      <c r="AC79" s="238"/>
    </row>
    <row r="80" spans="2:29" x14ac:dyDescent="0.4">
      <c r="B80" s="92"/>
      <c r="C80" s="588" t="s">
        <v>719</v>
      </c>
      <c r="E80" s="571">
        <f>'Yr 1 Rate Comp'!F66</f>
        <v>1799.31</v>
      </c>
      <c r="G80" s="571">
        <f>'Yr 1 Rate Comp'!L66</f>
        <v>2105.19</v>
      </c>
      <c r="I80" s="244">
        <f t="shared" si="54"/>
        <v>305.88000000000011</v>
      </c>
      <c r="K80" s="518">
        <f t="shared" si="55"/>
        <v>0.17</v>
      </c>
      <c r="M80" s="571">
        <f t="shared" si="59"/>
        <v>2105.19</v>
      </c>
      <c r="O80" s="571">
        <f>'YR 2 Rate Comp'!L66</f>
        <v>2414.6530000000002</v>
      </c>
      <c r="Q80" s="244">
        <f t="shared" si="56"/>
        <v>309.46300000000019</v>
      </c>
      <c r="S80" s="518">
        <f>ROUND(Q80/M80,4)</f>
        <v>0.14699999999999999</v>
      </c>
      <c r="U80" s="244">
        <f t="shared" si="60"/>
        <v>1799.31</v>
      </c>
      <c r="W80">
        <f t="shared" si="61"/>
        <v>2414.6530000000002</v>
      </c>
      <c r="Y80" s="244">
        <f t="shared" si="58"/>
        <v>615.3430000000003</v>
      </c>
      <c r="AA80" s="518">
        <f>ROUND(Y80/U80,4)</f>
        <v>0.34200000000000003</v>
      </c>
      <c r="AC80" s="238"/>
    </row>
    <row r="81" spans="2:29" x14ac:dyDescent="0.4">
      <c r="B81" s="248"/>
      <c r="C81" s="136"/>
      <c r="D81" s="136"/>
      <c r="E81" s="250"/>
      <c r="F81" s="136"/>
      <c r="G81" s="250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249"/>
    </row>
  </sheetData>
  <mergeCells count="1">
    <mergeCell ref="D4:K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4586D-9F48-42B9-9D63-E00107D34EF9}">
  <dimension ref="B2:T65"/>
  <sheetViews>
    <sheetView showGridLines="0" workbookViewId="0">
      <selection activeCell="L14" sqref="L14"/>
    </sheetView>
  </sheetViews>
  <sheetFormatPr defaultColWidth="15.77734375" defaultRowHeight="15.75" x14ac:dyDescent="0.5"/>
  <cols>
    <col min="1" max="1" width="4.77734375" style="116" customWidth="1"/>
    <col min="2" max="2" width="1.77734375" style="14" customWidth="1"/>
    <col min="3" max="3" width="5.77734375" style="14" customWidth="1"/>
    <col min="4" max="4" width="8.77734375" style="14" customWidth="1"/>
    <col min="5" max="5" width="7.88671875" style="14" customWidth="1"/>
    <col min="6" max="6" width="10.77734375" style="58" customWidth="1"/>
    <col min="7" max="7" width="9.77734375" style="14" customWidth="1"/>
    <col min="8" max="8" width="1.77734375" style="14" customWidth="1"/>
    <col min="9" max="9" width="10.77734375" style="14" customWidth="1"/>
    <col min="10" max="10" width="1.77734375" style="14" customWidth="1"/>
    <col min="11" max="11" width="9.77734375" style="14" customWidth="1"/>
    <col min="12" max="12" width="1.77734375" style="14" customWidth="1"/>
    <col min="13" max="13" width="11.77734375" style="14" customWidth="1"/>
    <col min="14" max="14" width="9.77734375" style="14" customWidth="1"/>
    <col min="15" max="15" width="1.77734375" style="14" customWidth="1"/>
    <col min="16" max="16" width="10.77734375" style="58" customWidth="1"/>
    <col min="17" max="17" width="9.77734375" style="14" customWidth="1"/>
    <col min="18" max="18" width="1.77734375" style="116" customWidth="1"/>
    <col min="19" max="19" width="11.77734375" style="116" customWidth="1"/>
    <col min="20" max="20" width="9.77734375" style="116" customWidth="1"/>
    <col min="21" max="16384" width="15.77734375" style="116"/>
  </cols>
  <sheetData>
    <row r="2" spans="3:20" x14ac:dyDescent="0.5">
      <c r="C2" s="668" t="s">
        <v>669</v>
      </c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</row>
    <row r="3" spans="3:20" x14ac:dyDescent="0.5">
      <c r="C3" s="668" t="s">
        <v>238</v>
      </c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</row>
    <row r="4" spans="3:20" x14ac:dyDescent="0.5">
      <c r="C4" s="668" t="str">
        <f>Adj!B1</f>
        <v>Butler County Water System, Inc.</v>
      </c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</row>
    <row r="5" spans="3:20" x14ac:dyDescent="0.5">
      <c r="P5" s="14"/>
    </row>
    <row r="6" spans="3:20" x14ac:dyDescent="0.5">
      <c r="C6" s="682" t="s">
        <v>687</v>
      </c>
      <c r="D6" s="682"/>
      <c r="E6" s="682"/>
      <c r="F6" s="575" t="s">
        <v>670</v>
      </c>
      <c r="G6" s="575"/>
      <c r="I6" s="682" t="s">
        <v>707</v>
      </c>
      <c r="J6" s="682"/>
      <c r="K6" s="682"/>
      <c r="L6" s="682"/>
      <c r="M6" s="682"/>
      <c r="N6" s="682"/>
      <c r="P6" s="682" t="s">
        <v>709</v>
      </c>
      <c r="Q6" s="682"/>
      <c r="R6" s="682"/>
      <c r="S6" s="682"/>
      <c r="T6" s="682"/>
    </row>
    <row r="7" spans="3:20" x14ac:dyDescent="0.5">
      <c r="M7" s="682" t="s">
        <v>708</v>
      </c>
      <c r="N7" s="682"/>
      <c r="S7" s="682" t="s">
        <v>708</v>
      </c>
      <c r="T7" s="682"/>
    </row>
    <row r="8" spans="3:20" x14ac:dyDescent="0.5">
      <c r="M8" s="682" t="s">
        <v>726</v>
      </c>
      <c r="N8" s="682"/>
      <c r="S8" s="682" t="s">
        <v>727</v>
      </c>
      <c r="T8" s="682"/>
    </row>
    <row r="9" spans="3:20" x14ac:dyDescent="0.5">
      <c r="C9" s="592" t="s">
        <v>333</v>
      </c>
      <c r="D9" s="142"/>
      <c r="E9" s="116"/>
      <c r="F9" s="403"/>
      <c r="G9" s="116"/>
      <c r="K9" s="116"/>
      <c r="M9" s="210" t="s">
        <v>725</v>
      </c>
      <c r="N9" s="210" t="s">
        <v>691</v>
      </c>
      <c r="P9" s="403"/>
      <c r="Q9" s="116"/>
      <c r="S9" s="210" t="s">
        <v>725</v>
      </c>
      <c r="T9" s="210" t="s">
        <v>691</v>
      </c>
    </row>
    <row r="10" spans="3:20" x14ac:dyDescent="0.5">
      <c r="C10" s="116" t="s">
        <v>51</v>
      </c>
      <c r="D10" s="142">
        <v>2000</v>
      </c>
      <c r="E10" s="116" t="s">
        <v>188</v>
      </c>
      <c r="F10" s="404">
        <f>'Yr 1 Rate Comp'!F11</f>
        <v>20.38</v>
      </c>
      <c r="G10" s="116" t="s">
        <v>241</v>
      </c>
      <c r="I10" s="404">
        <f>'Yr 1 Rate Comp'!L11</f>
        <v>23.83</v>
      </c>
      <c r="K10" s="116" t="s">
        <v>241</v>
      </c>
      <c r="M10" s="404">
        <f>I10-F10</f>
        <v>3.4499999999999993</v>
      </c>
      <c r="N10" s="595">
        <f>ROUND(M10/F10,4)</f>
        <v>0.16930000000000001</v>
      </c>
      <c r="P10" s="404">
        <f>'YR 2 Rate Comp'!L11</f>
        <v>27.33</v>
      </c>
      <c r="Q10" s="116" t="s">
        <v>241</v>
      </c>
      <c r="S10" s="404">
        <f>P10-I10</f>
        <v>3.5</v>
      </c>
      <c r="T10" s="595">
        <f>ROUND(S10/I10,4)</f>
        <v>0.1469</v>
      </c>
    </row>
    <row r="11" spans="3:20" x14ac:dyDescent="0.5">
      <c r="C11" s="116" t="s">
        <v>52</v>
      </c>
      <c r="D11" s="142">
        <v>4000</v>
      </c>
      <c r="E11" s="116" t="s">
        <v>188</v>
      </c>
      <c r="F11" s="576">
        <f>'Yr 1 Rate Comp'!F12</f>
        <v>5.8999999999999999E-3</v>
      </c>
      <c r="G11" s="116" t="s">
        <v>240</v>
      </c>
      <c r="I11" s="576">
        <f>'Yr 1 Rate Comp'!L12</f>
        <v>6.8900000000000003E-3</v>
      </c>
      <c r="K11" s="116" t="s">
        <v>240</v>
      </c>
      <c r="M11" s="576">
        <f>I11-F11</f>
        <v>9.9000000000000043E-4</v>
      </c>
      <c r="N11" s="595">
        <f t="shared" ref="N11:N14" si="0">ROUND(M11/F11,4)</f>
        <v>0.1678</v>
      </c>
      <c r="P11" s="576">
        <f>'YR 2 Rate Comp'!L12</f>
        <v>7.9100000000000004E-3</v>
      </c>
      <c r="Q11" s="116" t="s">
        <v>240</v>
      </c>
      <c r="S11" s="576">
        <f>P11-I11</f>
        <v>1.0200000000000001E-3</v>
      </c>
      <c r="T11" s="595">
        <f t="shared" ref="T11:T14" si="1">ROUND(S11/I11,4)</f>
        <v>0.14799999999999999</v>
      </c>
    </row>
    <row r="12" spans="3:20" x14ac:dyDescent="0.5">
      <c r="C12" s="116" t="s">
        <v>52</v>
      </c>
      <c r="D12" s="142">
        <v>44000</v>
      </c>
      <c r="E12" s="116" t="s">
        <v>188</v>
      </c>
      <c r="F12" s="576">
        <f>'Yr 1 Rate Comp'!F13</f>
        <v>5.2399999999999999E-3</v>
      </c>
      <c r="G12" s="116" t="s">
        <v>240</v>
      </c>
      <c r="I12" s="576">
        <f>'Yr 1 Rate Comp'!L13</f>
        <v>6.1200000000000004E-3</v>
      </c>
      <c r="K12" s="116" t="s">
        <v>240</v>
      </c>
      <c r="M12" s="576">
        <f>I12-F12</f>
        <v>8.8000000000000057E-4</v>
      </c>
      <c r="N12" s="595">
        <f t="shared" si="0"/>
        <v>0.16789999999999999</v>
      </c>
      <c r="P12" s="576">
        <f>'YR 2 Rate Comp'!L13</f>
        <v>7.0200000000000002E-3</v>
      </c>
      <c r="Q12" s="116" t="s">
        <v>240</v>
      </c>
      <c r="S12" s="576">
        <f>P12-I12</f>
        <v>8.9999999999999976E-4</v>
      </c>
      <c r="T12" s="595">
        <f t="shared" si="1"/>
        <v>0.14710000000000001</v>
      </c>
    </row>
    <row r="13" spans="3:20" x14ac:dyDescent="0.5">
      <c r="C13" s="116" t="s">
        <v>52</v>
      </c>
      <c r="D13" s="142">
        <v>50000</v>
      </c>
      <c r="E13" s="116" t="s">
        <v>188</v>
      </c>
      <c r="F13" s="576">
        <f>'Yr 1 Rate Comp'!F14</f>
        <v>4.5100000000000001E-3</v>
      </c>
      <c r="G13" s="116" t="s">
        <v>240</v>
      </c>
      <c r="I13" s="576">
        <f>'Yr 1 Rate Comp'!L14</f>
        <v>5.2700000000000004E-3</v>
      </c>
      <c r="K13" s="116" t="s">
        <v>240</v>
      </c>
      <c r="M13" s="576">
        <f>I13-F13</f>
        <v>7.6000000000000026E-4</v>
      </c>
      <c r="N13" s="595">
        <f t="shared" si="0"/>
        <v>0.16850000000000001</v>
      </c>
      <c r="P13" s="576">
        <f>'YR 2 Rate Comp'!L14</f>
        <v>6.0400000000000002E-3</v>
      </c>
      <c r="Q13" s="116" t="s">
        <v>240</v>
      </c>
      <c r="S13" s="576">
        <f>P13-I13</f>
        <v>7.6999999999999985E-4</v>
      </c>
      <c r="T13" s="595">
        <f t="shared" si="1"/>
        <v>0.14610000000000001</v>
      </c>
    </row>
    <row r="14" spans="3:20" x14ac:dyDescent="0.5">
      <c r="C14" s="116" t="s">
        <v>114</v>
      </c>
      <c r="D14" s="142">
        <f>SUM(D10:D13)</f>
        <v>100000</v>
      </c>
      <c r="E14" s="116" t="s">
        <v>188</v>
      </c>
      <c r="F14" s="576">
        <f>'Yr 1 Rate Comp'!F15</f>
        <v>3.7599999999999999E-3</v>
      </c>
      <c r="G14" s="116" t="s">
        <v>240</v>
      </c>
      <c r="I14" s="576">
        <f>'Yr 1 Rate Comp'!L15</f>
        <v>4.3900000000000007E-3</v>
      </c>
      <c r="K14" s="116" t="s">
        <v>240</v>
      </c>
      <c r="M14" s="576">
        <f>I14-F14</f>
        <v>6.3000000000000079E-4</v>
      </c>
      <c r="N14" s="595">
        <f t="shared" si="0"/>
        <v>0.1676</v>
      </c>
      <c r="P14" s="576">
        <f>'YR 2 Rate Comp'!L15</f>
        <v>5.0300000000000006E-3</v>
      </c>
      <c r="Q14" s="116" t="s">
        <v>240</v>
      </c>
      <c r="S14" s="576">
        <f>P14-I14</f>
        <v>6.3999999999999994E-4</v>
      </c>
      <c r="T14" s="595">
        <f t="shared" si="1"/>
        <v>0.14580000000000001</v>
      </c>
    </row>
    <row r="15" spans="3:20" x14ac:dyDescent="0.5">
      <c r="C15" s="116"/>
      <c r="D15" s="142"/>
      <c r="E15" s="116"/>
      <c r="F15" s="405"/>
      <c r="G15" s="116"/>
      <c r="I15" s="405"/>
      <c r="K15" s="116"/>
      <c r="M15" s="405"/>
      <c r="N15" s="405"/>
      <c r="P15" s="405"/>
      <c r="Q15" s="116"/>
      <c r="S15" s="405"/>
    </row>
    <row r="16" spans="3:20" x14ac:dyDescent="0.5">
      <c r="C16" s="592" t="s">
        <v>334</v>
      </c>
      <c r="D16" s="142"/>
      <c r="E16" s="116"/>
      <c r="F16" s="116"/>
      <c r="G16" s="116"/>
      <c r="I16" s="116"/>
      <c r="K16" s="116"/>
      <c r="M16" s="116"/>
      <c r="N16" s="116"/>
      <c r="P16" s="116"/>
      <c r="Q16" s="116"/>
    </row>
    <row r="17" spans="3:20" x14ac:dyDescent="0.5">
      <c r="C17" s="116" t="s">
        <v>51</v>
      </c>
      <c r="D17" s="142">
        <v>5000</v>
      </c>
      <c r="E17" s="116" t="s">
        <v>188</v>
      </c>
      <c r="F17" s="404">
        <f>'Yr 1 Rate Comp'!F18</f>
        <v>38.68</v>
      </c>
      <c r="G17" s="116" t="s">
        <v>241</v>
      </c>
      <c r="I17" s="404">
        <f>'Yr 1 Rate Comp'!L18</f>
        <v>45.25</v>
      </c>
      <c r="K17" s="116" t="s">
        <v>241</v>
      </c>
      <c r="M17" s="404">
        <f>I17-F17</f>
        <v>6.57</v>
      </c>
      <c r="N17" s="595">
        <f>ROUND(M17/F17,4)</f>
        <v>0.1699</v>
      </c>
      <c r="P17" s="404">
        <f>'YR 2 Rate Comp'!L18</f>
        <v>51.89</v>
      </c>
      <c r="Q17" s="116" t="s">
        <v>241</v>
      </c>
      <c r="S17" s="404">
        <f>P17-I17</f>
        <v>6.6400000000000006</v>
      </c>
      <c r="T17" s="595">
        <f>ROUND(S17/I17,4)</f>
        <v>0.1467</v>
      </c>
    </row>
    <row r="18" spans="3:20" x14ac:dyDescent="0.5">
      <c r="C18" s="116" t="s">
        <v>52</v>
      </c>
      <c r="D18" s="142">
        <v>1000</v>
      </c>
      <c r="E18" s="116" t="s">
        <v>188</v>
      </c>
      <c r="F18" s="576">
        <f>'Yr 1 Rate Comp'!F19</f>
        <v>5.8999999999999999E-3</v>
      </c>
      <c r="G18" s="116" t="s">
        <v>240</v>
      </c>
      <c r="I18" s="576">
        <f>'Yr 1 Rate Comp'!L19</f>
        <v>6.8900000000000003E-3</v>
      </c>
      <c r="K18" s="116" t="s">
        <v>240</v>
      </c>
      <c r="M18" s="576">
        <f>I18-F18</f>
        <v>9.9000000000000043E-4</v>
      </c>
      <c r="N18" s="595">
        <f t="shared" ref="N18:N21" si="2">ROUND(M18/F18,4)</f>
        <v>0.1678</v>
      </c>
      <c r="P18" s="576">
        <f>'YR 2 Rate Comp'!L19</f>
        <v>7.9100000000000004E-3</v>
      </c>
      <c r="Q18" s="116" t="s">
        <v>240</v>
      </c>
      <c r="S18" s="576">
        <f>P18-I18</f>
        <v>1.0200000000000001E-3</v>
      </c>
      <c r="T18" s="595">
        <f t="shared" ref="T18:T21" si="3">ROUND(S18/I18,4)</f>
        <v>0.14799999999999999</v>
      </c>
    </row>
    <row r="19" spans="3:20" x14ac:dyDescent="0.5">
      <c r="C19" s="116" t="s">
        <v>52</v>
      </c>
      <c r="D19" s="142">
        <v>44000</v>
      </c>
      <c r="E19" s="116" t="s">
        <v>188</v>
      </c>
      <c r="F19" s="576">
        <f>'Yr 1 Rate Comp'!F20</f>
        <v>5.2399999999999999E-3</v>
      </c>
      <c r="G19" s="116" t="s">
        <v>240</v>
      </c>
      <c r="I19" s="576">
        <f>'Yr 1 Rate Comp'!L20</f>
        <v>6.1200000000000004E-3</v>
      </c>
      <c r="K19" s="116" t="s">
        <v>240</v>
      </c>
      <c r="M19" s="576">
        <f>I19-F19</f>
        <v>8.8000000000000057E-4</v>
      </c>
      <c r="N19" s="595">
        <f t="shared" si="2"/>
        <v>0.16789999999999999</v>
      </c>
      <c r="P19" s="576">
        <f>'YR 2 Rate Comp'!L20</f>
        <v>7.0200000000000002E-3</v>
      </c>
      <c r="Q19" s="116" t="s">
        <v>240</v>
      </c>
      <c r="S19" s="576">
        <f>P19-I19</f>
        <v>8.9999999999999976E-4</v>
      </c>
      <c r="T19" s="595">
        <f t="shared" si="3"/>
        <v>0.14710000000000001</v>
      </c>
    </row>
    <row r="20" spans="3:20" x14ac:dyDescent="0.5">
      <c r="C20" s="116" t="s">
        <v>52</v>
      </c>
      <c r="D20" s="142">
        <v>50000</v>
      </c>
      <c r="E20" s="116" t="s">
        <v>188</v>
      </c>
      <c r="F20" s="576">
        <f>'Yr 1 Rate Comp'!F21</f>
        <v>4.5100000000000001E-3</v>
      </c>
      <c r="G20" s="116" t="s">
        <v>240</v>
      </c>
      <c r="I20" s="576">
        <f>'Yr 1 Rate Comp'!L21</f>
        <v>5.2700000000000004E-3</v>
      </c>
      <c r="K20" s="116" t="s">
        <v>240</v>
      </c>
      <c r="M20" s="576">
        <f>I20-F20</f>
        <v>7.6000000000000026E-4</v>
      </c>
      <c r="N20" s="595">
        <f t="shared" si="2"/>
        <v>0.16850000000000001</v>
      </c>
      <c r="P20" s="576">
        <f>'YR 2 Rate Comp'!L21</f>
        <v>6.0400000000000002E-3</v>
      </c>
      <c r="Q20" s="116" t="s">
        <v>240</v>
      </c>
      <c r="S20" s="576">
        <f>P20-I20</f>
        <v>7.6999999999999985E-4</v>
      </c>
      <c r="T20" s="595">
        <f t="shared" si="3"/>
        <v>0.14610000000000001</v>
      </c>
    </row>
    <row r="21" spans="3:20" x14ac:dyDescent="0.5">
      <c r="C21" s="116" t="s">
        <v>114</v>
      </c>
      <c r="D21" s="142">
        <f>SUM(D17:D20)</f>
        <v>100000</v>
      </c>
      <c r="E21" s="116" t="s">
        <v>188</v>
      </c>
      <c r="F21" s="576">
        <f>'Yr 1 Rate Comp'!F22</f>
        <v>3.7599999999999999E-3</v>
      </c>
      <c r="G21" s="116" t="s">
        <v>240</v>
      </c>
      <c r="I21" s="576">
        <f>'Yr 1 Rate Comp'!L22</f>
        <v>4.3900000000000007E-3</v>
      </c>
      <c r="K21" s="116" t="s">
        <v>240</v>
      </c>
      <c r="M21" s="576">
        <f>I21-F21</f>
        <v>6.3000000000000079E-4</v>
      </c>
      <c r="N21" s="595">
        <f t="shared" si="2"/>
        <v>0.1676</v>
      </c>
      <c r="P21" s="576">
        <f>'YR 2 Rate Comp'!L22</f>
        <v>5.0300000000000006E-3</v>
      </c>
      <c r="Q21" s="116" t="s">
        <v>240</v>
      </c>
      <c r="S21" s="576">
        <f>P21-I21</f>
        <v>6.3999999999999994E-4</v>
      </c>
      <c r="T21" s="595">
        <f t="shared" si="3"/>
        <v>0.14580000000000001</v>
      </c>
    </row>
    <row r="22" spans="3:20" x14ac:dyDescent="0.5">
      <c r="C22" s="116"/>
      <c r="D22" s="142"/>
      <c r="E22" s="116"/>
      <c r="F22" s="405"/>
      <c r="G22" s="116"/>
      <c r="I22" s="405"/>
      <c r="K22" s="116"/>
      <c r="M22" s="405"/>
      <c r="N22" s="405"/>
      <c r="P22" s="405"/>
      <c r="Q22" s="116"/>
      <c r="S22" s="405"/>
    </row>
    <row r="23" spans="3:20" x14ac:dyDescent="0.5">
      <c r="C23" s="592" t="s">
        <v>335</v>
      </c>
      <c r="D23" s="142"/>
      <c r="E23" s="116"/>
      <c r="F23" s="405"/>
      <c r="G23" s="116"/>
      <c r="I23" s="405"/>
      <c r="K23" s="116"/>
      <c r="M23" s="405"/>
      <c r="N23" s="405"/>
      <c r="P23" s="405"/>
      <c r="Q23" s="116"/>
      <c r="S23" s="405"/>
    </row>
    <row r="24" spans="3:20" x14ac:dyDescent="0.5">
      <c r="C24" s="116" t="s">
        <v>51</v>
      </c>
      <c r="D24" s="142">
        <v>10000</v>
      </c>
      <c r="E24" s="116" t="s">
        <v>188</v>
      </c>
      <c r="F24" s="404">
        <f>'Yr 1 Rate Comp'!F25</f>
        <v>69.11</v>
      </c>
      <c r="G24" s="116" t="s">
        <v>241</v>
      </c>
      <c r="I24" s="404">
        <f>'Yr 1 Rate Comp'!L25</f>
        <v>80.849999999999994</v>
      </c>
      <c r="K24" s="116" t="s">
        <v>241</v>
      </c>
      <c r="M24" s="404">
        <f>I24-F24</f>
        <v>11.739999999999995</v>
      </c>
      <c r="N24" s="595">
        <f>ROUND(M24/F24,4)</f>
        <v>0.1699</v>
      </c>
      <c r="P24" s="404">
        <f>'YR 2 Rate Comp'!L25</f>
        <v>92.71</v>
      </c>
      <c r="Q24" s="116" t="s">
        <v>241</v>
      </c>
      <c r="S24" s="404">
        <f>P24-I24</f>
        <v>11.86</v>
      </c>
      <c r="T24" s="595">
        <f>ROUND(S24/I24,4)</f>
        <v>0.1467</v>
      </c>
    </row>
    <row r="25" spans="3:20" x14ac:dyDescent="0.5">
      <c r="C25" s="116" t="s">
        <v>52</v>
      </c>
      <c r="D25" s="142">
        <v>40000</v>
      </c>
      <c r="E25" s="116" t="s">
        <v>188</v>
      </c>
      <c r="F25" s="576">
        <f>'Yr 1 Rate Comp'!F26</f>
        <v>5.2399999999999999E-3</v>
      </c>
      <c r="G25" s="116" t="s">
        <v>240</v>
      </c>
      <c r="I25" s="576">
        <f>'Yr 1 Rate Comp'!L26</f>
        <v>6.1200000000000004E-3</v>
      </c>
      <c r="K25" s="116" t="s">
        <v>240</v>
      </c>
      <c r="M25" s="576">
        <f>I25-F25</f>
        <v>8.8000000000000057E-4</v>
      </c>
      <c r="N25" s="595">
        <f t="shared" ref="N25:N27" si="4">ROUND(M25/F25,4)</f>
        <v>0.16789999999999999</v>
      </c>
      <c r="P25" s="576">
        <f>'YR 2 Rate Comp'!L26</f>
        <v>7.0200000000000002E-3</v>
      </c>
      <c r="Q25" s="116" t="s">
        <v>240</v>
      </c>
      <c r="S25" s="576">
        <f>P25-I25</f>
        <v>8.9999999999999976E-4</v>
      </c>
      <c r="T25" s="595">
        <f t="shared" ref="T25:T27" si="5">ROUND(S25/I25,4)</f>
        <v>0.14710000000000001</v>
      </c>
    </row>
    <row r="26" spans="3:20" x14ac:dyDescent="0.5">
      <c r="C26" s="116" t="s">
        <v>52</v>
      </c>
      <c r="D26" s="142">
        <v>50000</v>
      </c>
      <c r="E26" s="116" t="s">
        <v>188</v>
      </c>
      <c r="F26" s="576">
        <f>'Yr 1 Rate Comp'!F27</f>
        <v>4.5100000000000001E-3</v>
      </c>
      <c r="G26" s="116" t="s">
        <v>240</v>
      </c>
      <c r="I26" s="576">
        <f>'Yr 1 Rate Comp'!L27</f>
        <v>5.2700000000000004E-3</v>
      </c>
      <c r="K26" s="116" t="s">
        <v>240</v>
      </c>
      <c r="M26" s="576">
        <f>I26-F26</f>
        <v>7.6000000000000026E-4</v>
      </c>
      <c r="N26" s="595">
        <f t="shared" si="4"/>
        <v>0.16850000000000001</v>
      </c>
      <c r="P26" s="576">
        <f>'YR 2 Rate Comp'!L27</f>
        <v>6.0400000000000002E-3</v>
      </c>
      <c r="Q26" s="116" t="s">
        <v>240</v>
      </c>
      <c r="S26" s="576">
        <f>P26-I26</f>
        <v>7.6999999999999985E-4</v>
      </c>
      <c r="T26" s="595">
        <f t="shared" si="5"/>
        <v>0.14610000000000001</v>
      </c>
    </row>
    <row r="27" spans="3:20" x14ac:dyDescent="0.5">
      <c r="C27" s="116" t="s">
        <v>114</v>
      </c>
      <c r="D27" s="142">
        <f>SUM(D23:D26)</f>
        <v>100000</v>
      </c>
      <c r="E27" s="116" t="s">
        <v>188</v>
      </c>
      <c r="F27" s="576">
        <f>'Yr 1 Rate Comp'!F28</f>
        <v>3.7599999999999999E-3</v>
      </c>
      <c r="G27" s="116" t="s">
        <v>240</v>
      </c>
      <c r="I27" s="576">
        <f>'Yr 1 Rate Comp'!L28</f>
        <v>4.3900000000000007E-3</v>
      </c>
      <c r="K27" s="116" t="s">
        <v>240</v>
      </c>
      <c r="M27" s="576">
        <f>I27-F27</f>
        <v>6.3000000000000079E-4</v>
      </c>
      <c r="N27" s="595">
        <f t="shared" si="4"/>
        <v>0.1676</v>
      </c>
      <c r="P27" s="576">
        <f>'YR 2 Rate Comp'!L28</f>
        <v>5.0300000000000006E-3</v>
      </c>
      <c r="Q27" s="116" t="s">
        <v>240</v>
      </c>
      <c r="S27" s="576">
        <f>P27-I27</f>
        <v>6.3999999999999994E-4</v>
      </c>
      <c r="T27" s="595">
        <f t="shared" si="5"/>
        <v>0.14580000000000001</v>
      </c>
    </row>
    <row r="28" spans="3:20" x14ac:dyDescent="0.5">
      <c r="C28" s="116"/>
      <c r="D28" s="142"/>
      <c r="E28" s="116"/>
      <c r="F28" s="405"/>
      <c r="G28" s="116"/>
      <c r="I28" s="405"/>
      <c r="K28" s="116"/>
      <c r="M28" s="405"/>
      <c r="N28" s="405"/>
      <c r="P28" s="405"/>
      <c r="Q28" s="116"/>
      <c r="S28" s="405"/>
    </row>
    <row r="29" spans="3:20" x14ac:dyDescent="0.5">
      <c r="C29" s="592" t="s">
        <v>336</v>
      </c>
      <c r="D29" s="142"/>
      <c r="E29" s="116"/>
      <c r="F29" s="116"/>
      <c r="G29" s="116"/>
      <c r="I29" s="116"/>
      <c r="K29" s="116"/>
      <c r="M29" s="116"/>
      <c r="N29" s="116"/>
      <c r="P29" s="116"/>
      <c r="Q29" s="116"/>
    </row>
    <row r="30" spans="3:20" x14ac:dyDescent="0.5">
      <c r="C30" s="116" t="s">
        <v>51</v>
      </c>
      <c r="D30" s="142">
        <v>16000</v>
      </c>
      <c r="E30" s="116" t="s">
        <v>188</v>
      </c>
      <c r="F30" s="404">
        <f>'Yr 1 Rate Comp'!F31</f>
        <v>101.44</v>
      </c>
      <c r="G30" s="116" t="s">
        <v>241</v>
      </c>
      <c r="I30" s="404">
        <f>'Yr 1 Rate Comp'!L31</f>
        <v>118.66999999999999</v>
      </c>
      <c r="K30" s="116" t="s">
        <v>241</v>
      </c>
      <c r="M30" s="404">
        <f>I30-F30</f>
        <v>17.22999999999999</v>
      </c>
      <c r="N30" s="595">
        <f>ROUND(M30/F30,4)</f>
        <v>0.1699</v>
      </c>
      <c r="P30" s="404">
        <f>'YR 2 Rate Comp'!L31</f>
        <v>136.09</v>
      </c>
      <c r="Q30" s="116" t="s">
        <v>241</v>
      </c>
      <c r="S30" s="404">
        <f>P30-I30</f>
        <v>17.420000000000016</v>
      </c>
      <c r="T30" s="595">
        <f>ROUND(S30/I30,4)</f>
        <v>0.14680000000000001</v>
      </c>
    </row>
    <row r="31" spans="3:20" x14ac:dyDescent="0.5">
      <c r="C31" s="116" t="s">
        <v>52</v>
      </c>
      <c r="D31" s="142">
        <v>34000</v>
      </c>
      <c r="E31" s="116" t="s">
        <v>188</v>
      </c>
      <c r="F31" s="576">
        <f>'Yr 1 Rate Comp'!F32</f>
        <v>5.2399999999999999E-3</v>
      </c>
      <c r="G31" s="116" t="s">
        <v>240</v>
      </c>
      <c r="I31" s="576">
        <f>'Yr 1 Rate Comp'!L32</f>
        <v>6.1200000000000004E-3</v>
      </c>
      <c r="K31" s="116" t="s">
        <v>240</v>
      </c>
      <c r="M31" s="576">
        <f>I31-F31</f>
        <v>8.8000000000000057E-4</v>
      </c>
      <c r="N31" s="595">
        <f t="shared" ref="N31:N33" si="6">ROUND(M31/F31,4)</f>
        <v>0.16789999999999999</v>
      </c>
      <c r="P31" s="576">
        <f>'YR 2 Rate Comp'!L32</f>
        <v>7.0200000000000002E-3</v>
      </c>
      <c r="Q31" s="116" t="s">
        <v>240</v>
      </c>
      <c r="S31" s="576">
        <f>P31-I31</f>
        <v>8.9999999999999976E-4</v>
      </c>
      <c r="T31" s="595">
        <f t="shared" ref="T31:T33" si="7">ROUND(S31/I31,4)</f>
        <v>0.14710000000000001</v>
      </c>
    </row>
    <row r="32" spans="3:20" x14ac:dyDescent="0.5">
      <c r="C32" s="116" t="s">
        <v>52</v>
      </c>
      <c r="D32" s="142">
        <v>50000</v>
      </c>
      <c r="E32" s="116" t="s">
        <v>188</v>
      </c>
      <c r="F32" s="576">
        <f>'Yr 1 Rate Comp'!F33</f>
        <v>4.5100000000000001E-3</v>
      </c>
      <c r="G32" s="116" t="s">
        <v>240</v>
      </c>
      <c r="I32" s="576">
        <f>'Yr 1 Rate Comp'!L33</f>
        <v>5.2700000000000004E-3</v>
      </c>
      <c r="K32" s="116" t="s">
        <v>240</v>
      </c>
      <c r="M32" s="576">
        <f>I32-F32</f>
        <v>7.6000000000000026E-4</v>
      </c>
      <c r="N32" s="595">
        <f t="shared" si="6"/>
        <v>0.16850000000000001</v>
      </c>
      <c r="P32" s="576">
        <f>'YR 2 Rate Comp'!L33</f>
        <v>6.0400000000000002E-3</v>
      </c>
      <c r="Q32" s="116" t="s">
        <v>240</v>
      </c>
      <c r="S32" s="576">
        <f>P32-I32</f>
        <v>7.6999999999999985E-4</v>
      </c>
      <c r="T32" s="595">
        <f t="shared" si="7"/>
        <v>0.14610000000000001</v>
      </c>
    </row>
    <row r="33" spans="3:20" x14ac:dyDescent="0.5">
      <c r="C33" s="116" t="s">
        <v>114</v>
      </c>
      <c r="D33" s="142">
        <f>SUM(D29:D32)</f>
        <v>100000</v>
      </c>
      <c r="E33" s="116" t="s">
        <v>188</v>
      </c>
      <c r="F33" s="576">
        <f>'Yr 1 Rate Comp'!F34</f>
        <v>3.7599999999999999E-3</v>
      </c>
      <c r="G33" s="116" t="s">
        <v>240</v>
      </c>
      <c r="I33" s="576">
        <f>'Yr 1 Rate Comp'!L34</f>
        <v>4.3900000000000007E-3</v>
      </c>
      <c r="K33" s="116" t="s">
        <v>240</v>
      </c>
      <c r="M33" s="576">
        <f>I33-F33</f>
        <v>6.3000000000000079E-4</v>
      </c>
      <c r="N33" s="595">
        <f t="shared" si="6"/>
        <v>0.1676</v>
      </c>
      <c r="P33" s="576">
        <f>'YR 2 Rate Comp'!L34</f>
        <v>5.0300000000000006E-3</v>
      </c>
      <c r="Q33" s="116" t="s">
        <v>240</v>
      </c>
      <c r="S33" s="576">
        <f>P33-I33</f>
        <v>6.3999999999999994E-4</v>
      </c>
      <c r="T33" s="595">
        <f t="shared" si="7"/>
        <v>0.14580000000000001</v>
      </c>
    </row>
    <row r="34" spans="3:20" x14ac:dyDescent="0.5">
      <c r="C34" s="116"/>
      <c r="D34" s="142"/>
      <c r="E34" s="116"/>
      <c r="F34" s="576"/>
      <c r="G34" s="116"/>
      <c r="I34" s="576"/>
      <c r="K34" s="116"/>
      <c r="M34" s="576"/>
      <c r="N34" s="576"/>
      <c r="P34" s="405"/>
      <c r="Q34" s="116"/>
      <c r="S34" s="405"/>
    </row>
    <row r="35" spans="3:20" x14ac:dyDescent="0.5">
      <c r="C35" s="592" t="s">
        <v>337</v>
      </c>
      <c r="D35" s="142"/>
      <c r="E35" s="116"/>
      <c r="F35" s="576"/>
      <c r="G35" s="116"/>
      <c r="I35" s="576"/>
      <c r="K35" s="116"/>
      <c r="M35" s="576"/>
      <c r="N35" s="576"/>
      <c r="P35" s="116"/>
      <c r="Q35" s="116"/>
    </row>
    <row r="36" spans="3:20" x14ac:dyDescent="0.5">
      <c r="C36" s="116" t="s">
        <v>51</v>
      </c>
      <c r="D36" s="142">
        <v>25000</v>
      </c>
      <c r="E36" s="116" t="s">
        <v>188</v>
      </c>
      <c r="F36" s="404">
        <f>'Yr 1 Rate Comp'!F37</f>
        <v>164.67</v>
      </c>
      <c r="G36" s="116" t="s">
        <v>241</v>
      </c>
      <c r="I36" s="404">
        <f>'Yr 1 Rate Comp'!L37</f>
        <v>192.65</v>
      </c>
      <c r="K36" s="116" t="s">
        <v>241</v>
      </c>
      <c r="M36" s="404">
        <f>I36-F36</f>
        <v>27.980000000000018</v>
      </c>
      <c r="N36" s="595">
        <f>ROUND(M36/F36,4)</f>
        <v>0.1699</v>
      </c>
      <c r="P36" s="404">
        <f>'YR 2 Rate Comp'!L37</f>
        <v>220.93</v>
      </c>
      <c r="Q36" s="116" t="s">
        <v>241</v>
      </c>
      <c r="S36" s="404">
        <f>P36-I36</f>
        <v>28.28</v>
      </c>
      <c r="T36" s="595">
        <f>ROUND(S36/I36,4)</f>
        <v>0.14680000000000001</v>
      </c>
    </row>
    <row r="37" spans="3:20" x14ac:dyDescent="0.5">
      <c r="C37" s="116" t="s">
        <v>52</v>
      </c>
      <c r="D37" s="142">
        <v>25000</v>
      </c>
      <c r="E37" s="116" t="s">
        <v>188</v>
      </c>
      <c r="F37" s="576">
        <f>'Yr 1 Rate Comp'!F38</f>
        <v>5.2399999999999999E-3</v>
      </c>
      <c r="G37" s="116" t="s">
        <v>240</v>
      </c>
      <c r="I37" s="576">
        <f>'Yr 1 Rate Comp'!L38</f>
        <v>6.1200000000000004E-3</v>
      </c>
      <c r="K37" s="116" t="s">
        <v>240</v>
      </c>
      <c r="M37" s="576">
        <f>I37-F37</f>
        <v>8.8000000000000057E-4</v>
      </c>
      <c r="N37" s="595">
        <f t="shared" ref="N37:N39" si="8">ROUND(M37/F37,4)</f>
        <v>0.16789999999999999</v>
      </c>
      <c r="P37" s="576">
        <f>'YR 2 Rate Comp'!L38</f>
        <v>7.0200000000000002E-3</v>
      </c>
      <c r="Q37" s="116" t="s">
        <v>240</v>
      </c>
      <c r="S37" s="576">
        <f>P37-I37</f>
        <v>8.9999999999999976E-4</v>
      </c>
      <c r="T37" s="595">
        <f t="shared" ref="T37:T39" si="9">ROUND(S37/I37,4)</f>
        <v>0.14710000000000001</v>
      </c>
    </row>
    <row r="38" spans="3:20" x14ac:dyDescent="0.5">
      <c r="C38" s="116" t="s">
        <v>52</v>
      </c>
      <c r="D38" s="142">
        <v>50000</v>
      </c>
      <c r="E38" s="116" t="s">
        <v>188</v>
      </c>
      <c r="F38" s="576">
        <f>'Yr 1 Rate Comp'!F39</f>
        <v>4.5100000000000001E-3</v>
      </c>
      <c r="G38" s="116" t="s">
        <v>240</v>
      </c>
      <c r="I38" s="576">
        <f>'Yr 1 Rate Comp'!L39</f>
        <v>5.2700000000000004E-3</v>
      </c>
      <c r="K38" s="116" t="s">
        <v>240</v>
      </c>
      <c r="M38" s="576">
        <f>I38-F38</f>
        <v>7.6000000000000026E-4</v>
      </c>
      <c r="N38" s="595">
        <f t="shared" si="8"/>
        <v>0.16850000000000001</v>
      </c>
      <c r="P38" s="576">
        <f>'YR 2 Rate Comp'!L39</f>
        <v>6.0400000000000002E-3</v>
      </c>
      <c r="Q38" s="116" t="s">
        <v>240</v>
      </c>
      <c r="S38" s="576">
        <f>P38-I38</f>
        <v>7.6999999999999985E-4</v>
      </c>
      <c r="T38" s="595">
        <f t="shared" si="9"/>
        <v>0.14610000000000001</v>
      </c>
    </row>
    <row r="39" spans="3:20" x14ac:dyDescent="0.5">
      <c r="C39" s="116" t="s">
        <v>114</v>
      </c>
      <c r="D39" s="142">
        <f>SUM(D35:D38)</f>
        <v>100000</v>
      </c>
      <c r="E39" s="116" t="s">
        <v>188</v>
      </c>
      <c r="F39" s="576">
        <f>'Yr 1 Rate Comp'!F40</f>
        <v>3.7599999999999999E-3</v>
      </c>
      <c r="G39" s="116" t="s">
        <v>240</v>
      </c>
      <c r="I39" s="576">
        <f>'Yr 1 Rate Comp'!L40</f>
        <v>4.3900000000000007E-3</v>
      </c>
      <c r="K39" s="116" t="s">
        <v>240</v>
      </c>
      <c r="M39" s="576">
        <f>I39-F39</f>
        <v>6.3000000000000079E-4</v>
      </c>
      <c r="N39" s="595">
        <f t="shared" si="8"/>
        <v>0.1676</v>
      </c>
      <c r="P39" s="576">
        <f>'YR 2 Rate Comp'!L40</f>
        <v>5.0300000000000006E-3</v>
      </c>
      <c r="Q39" s="116" t="s">
        <v>240</v>
      </c>
      <c r="S39" s="576">
        <f>P39-I39</f>
        <v>6.3999999999999994E-4</v>
      </c>
      <c r="T39" s="595">
        <f t="shared" si="9"/>
        <v>0.14580000000000001</v>
      </c>
    </row>
    <row r="40" spans="3:20" x14ac:dyDescent="0.5">
      <c r="C40" s="116"/>
      <c r="D40" s="142"/>
      <c r="E40" s="116"/>
      <c r="F40" s="405"/>
      <c r="G40" s="116"/>
      <c r="I40" s="405"/>
      <c r="K40" s="116"/>
      <c r="M40" s="405"/>
      <c r="N40" s="405"/>
      <c r="P40" s="405"/>
      <c r="Q40" s="116"/>
      <c r="S40" s="405"/>
    </row>
    <row r="41" spans="3:20" x14ac:dyDescent="0.5">
      <c r="C41" s="592" t="s">
        <v>338</v>
      </c>
      <c r="D41" s="142"/>
      <c r="E41" s="116"/>
      <c r="F41" s="116"/>
      <c r="G41" s="116"/>
      <c r="I41" s="116"/>
      <c r="K41" s="116"/>
      <c r="M41" s="116"/>
      <c r="N41" s="116"/>
      <c r="P41" s="116"/>
      <c r="Q41" s="116"/>
    </row>
    <row r="42" spans="3:20" x14ac:dyDescent="0.5">
      <c r="C42" s="116" t="s">
        <v>51</v>
      </c>
      <c r="D42" s="142">
        <v>30000</v>
      </c>
      <c r="E42" s="116" t="s">
        <v>188</v>
      </c>
      <c r="F42" s="404">
        <f>'Yr 1 Rate Comp'!F43</f>
        <v>227.81</v>
      </c>
      <c r="G42" s="116" t="s">
        <v>241</v>
      </c>
      <c r="I42" s="404">
        <f>'Yr 1 Rate Comp'!L43</f>
        <v>266.53000000000003</v>
      </c>
      <c r="K42" s="116" t="s">
        <v>241</v>
      </c>
      <c r="M42" s="404">
        <f>I42-F42</f>
        <v>38.720000000000027</v>
      </c>
      <c r="N42" s="595">
        <f>ROUND(M42/F42,4)</f>
        <v>0.17</v>
      </c>
      <c r="P42" s="404">
        <f>'YR 2 Rate Comp'!L43</f>
        <v>305.64</v>
      </c>
      <c r="Q42" s="116" t="s">
        <v>241</v>
      </c>
      <c r="S42" s="404">
        <f>P42-I42</f>
        <v>39.109999999999957</v>
      </c>
      <c r="T42" s="595">
        <f>ROUND(S42/I42,4)</f>
        <v>0.1467</v>
      </c>
    </row>
    <row r="43" spans="3:20" x14ac:dyDescent="0.5">
      <c r="C43" s="116" t="s">
        <v>52</v>
      </c>
      <c r="D43" s="142">
        <v>20000</v>
      </c>
      <c r="E43" s="116" t="s">
        <v>188</v>
      </c>
      <c r="F43" s="576">
        <f>'Yr 1 Rate Comp'!F44</f>
        <v>5.2399999999999999E-3</v>
      </c>
      <c r="G43" s="116" t="s">
        <v>240</v>
      </c>
      <c r="I43" s="576">
        <f>'Yr 1 Rate Comp'!L44</f>
        <v>6.1200000000000004E-3</v>
      </c>
      <c r="K43" s="116" t="s">
        <v>240</v>
      </c>
      <c r="M43" s="576">
        <f>I43-F43</f>
        <v>8.8000000000000057E-4</v>
      </c>
      <c r="N43" s="595">
        <f t="shared" ref="N43:N45" si="10">ROUND(M43/F43,4)</f>
        <v>0.16789999999999999</v>
      </c>
      <c r="P43" s="576">
        <f>'YR 2 Rate Comp'!L44</f>
        <v>7.0200000000000002E-3</v>
      </c>
      <c r="Q43" s="116" t="s">
        <v>240</v>
      </c>
      <c r="S43" s="576">
        <f>P43-I43</f>
        <v>8.9999999999999976E-4</v>
      </c>
      <c r="T43" s="595">
        <f t="shared" ref="T43:T45" si="11">ROUND(S43/I43,4)</f>
        <v>0.14710000000000001</v>
      </c>
    </row>
    <row r="44" spans="3:20" x14ac:dyDescent="0.5">
      <c r="C44" s="116" t="s">
        <v>52</v>
      </c>
      <c r="D44" s="142">
        <v>50000</v>
      </c>
      <c r="E44" s="116" t="s">
        <v>188</v>
      </c>
      <c r="F44" s="576">
        <f>'Yr 1 Rate Comp'!F45</f>
        <v>4.5100000000000001E-3</v>
      </c>
      <c r="G44" s="116" t="s">
        <v>240</v>
      </c>
      <c r="I44" s="576">
        <f>'Yr 1 Rate Comp'!L45</f>
        <v>5.2700000000000004E-3</v>
      </c>
      <c r="K44" s="116" t="s">
        <v>240</v>
      </c>
      <c r="M44" s="576">
        <f>I44-F44</f>
        <v>7.6000000000000026E-4</v>
      </c>
      <c r="N44" s="595">
        <f t="shared" si="10"/>
        <v>0.16850000000000001</v>
      </c>
      <c r="P44" s="576">
        <f>'YR 2 Rate Comp'!L45</f>
        <v>6.0400000000000002E-3</v>
      </c>
      <c r="Q44" s="116" t="s">
        <v>240</v>
      </c>
      <c r="S44" s="576">
        <f>P44-I44</f>
        <v>7.6999999999999985E-4</v>
      </c>
      <c r="T44" s="595">
        <f t="shared" si="11"/>
        <v>0.14610000000000001</v>
      </c>
    </row>
    <row r="45" spans="3:20" x14ac:dyDescent="0.5">
      <c r="C45" s="116" t="s">
        <v>114</v>
      </c>
      <c r="D45" s="142">
        <f>SUM(D41:D44)</f>
        <v>100000</v>
      </c>
      <c r="E45" s="116" t="s">
        <v>188</v>
      </c>
      <c r="F45" s="576">
        <f>'Yr 1 Rate Comp'!F46</f>
        <v>3.7599999999999999E-3</v>
      </c>
      <c r="G45" s="116" t="s">
        <v>240</v>
      </c>
      <c r="I45" s="576">
        <f>'Yr 1 Rate Comp'!L46</f>
        <v>4.3900000000000007E-3</v>
      </c>
      <c r="K45" s="116" t="s">
        <v>240</v>
      </c>
      <c r="M45" s="576">
        <f>I45-F45</f>
        <v>6.3000000000000079E-4</v>
      </c>
      <c r="N45" s="595">
        <f t="shared" si="10"/>
        <v>0.1676</v>
      </c>
      <c r="P45" s="576">
        <f>'YR 2 Rate Comp'!L46</f>
        <v>5.0300000000000006E-3</v>
      </c>
      <c r="Q45" s="116" t="s">
        <v>240</v>
      </c>
      <c r="S45" s="576">
        <f>P45-I45</f>
        <v>6.3999999999999994E-4</v>
      </c>
      <c r="T45" s="595">
        <f t="shared" si="11"/>
        <v>0.14580000000000001</v>
      </c>
    </row>
    <row r="46" spans="3:20" x14ac:dyDescent="0.5">
      <c r="C46" s="116"/>
      <c r="D46" s="142"/>
      <c r="E46" s="116"/>
      <c r="F46" s="405"/>
      <c r="G46" s="116"/>
      <c r="I46" s="405"/>
      <c r="K46" s="116"/>
      <c r="M46" s="405"/>
      <c r="N46" s="405"/>
      <c r="P46" s="405"/>
      <c r="Q46" s="116"/>
      <c r="S46" s="405"/>
    </row>
    <row r="47" spans="3:20" x14ac:dyDescent="0.5">
      <c r="C47" s="592" t="s">
        <v>339</v>
      </c>
      <c r="D47" s="142"/>
      <c r="E47" s="116"/>
      <c r="F47" s="116"/>
      <c r="G47" s="116"/>
      <c r="I47" s="116"/>
      <c r="K47" s="116"/>
      <c r="M47" s="116"/>
      <c r="N47" s="116"/>
      <c r="P47" s="116"/>
      <c r="Q47" s="116"/>
    </row>
    <row r="48" spans="3:20" x14ac:dyDescent="0.5">
      <c r="C48" s="116" t="s">
        <v>51</v>
      </c>
      <c r="D48" s="142">
        <v>60000</v>
      </c>
      <c r="E48" s="116" t="s">
        <v>188</v>
      </c>
      <c r="F48" s="404">
        <f>'Yr 1 Rate Comp'!F49</f>
        <v>397.91</v>
      </c>
      <c r="G48" s="116" t="s">
        <v>241</v>
      </c>
      <c r="I48" s="404">
        <f>'Yr 1 Rate Comp'!L49</f>
        <v>465.54</v>
      </c>
      <c r="K48" s="116" t="s">
        <v>241</v>
      </c>
      <c r="M48" s="404">
        <f>I48-F48</f>
        <v>67.63</v>
      </c>
      <c r="N48" s="595">
        <f>ROUND(M48/F48,4)</f>
        <v>0.17</v>
      </c>
      <c r="P48" s="404">
        <f>'YR 2 Rate Comp'!L49</f>
        <v>533.87</v>
      </c>
      <c r="Q48" s="116" t="s">
        <v>241</v>
      </c>
      <c r="S48" s="404">
        <f>P48-I48</f>
        <v>68.329999999999984</v>
      </c>
      <c r="T48" s="595">
        <f>ROUND(S48/I48,4)</f>
        <v>0.14680000000000001</v>
      </c>
    </row>
    <row r="49" spans="3:20" x14ac:dyDescent="0.5">
      <c r="C49" s="116" t="s">
        <v>52</v>
      </c>
      <c r="D49" s="142">
        <v>40000</v>
      </c>
      <c r="E49" s="116" t="s">
        <v>188</v>
      </c>
      <c r="F49" s="576">
        <f>'Yr 1 Rate Comp'!F50</f>
        <v>4.5100000000000001E-3</v>
      </c>
      <c r="G49" s="116" t="s">
        <v>240</v>
      </c>
      <c r="I49" s="576">
        <f>'Yr 1 Rate Comp'!L50</f>
        <v>5.2700000000000004E-3</v>
      </c>
      <c r="K49" s="116" t="s">
        <v>240</v>
      </c>
      <c r="M49" s="576">
        <f>I49-F49</f>
        <v>7.6000000000000026E-4</v>
      </c>
      <c r="N49" s="595">
        <f t="shared" ref="N49:N50" si="12">ROUND(M49/F49,4)</f>
        <v>0.16850000000000001</v>
      </c>
      <c r="P49" s="576">
        <f>'YR 2 Rate Comp'!L50</f>
        <v>6.0400000000000002E-3</v>
      </c>
      <c r="Q49" s="116" t="s">
        <v>240</v>
      </c>
      <c r="S49" s="576">
        <f>P49-I49</f>
        <v>7.6999999999999985E-4</v>
      </c>
      <c r="T49" s="595">
        <f t="shared" ref="T49:T50" si="13">ROUND(S49/I49,4)</f>
        <v>0.14610000000000001</v>
      </c>
    </row>
    <row r="50" spans="3:20" x14ac:dyDescent="0.5">
      <c r="C50" s="116" t="s">
        <v>114</v>
      </c>
      <c r="D50" s="142">
        <f>SUM(D47:D49)</f>
        <v>100000</v>
      </c>
      <c r="E50" s="116" t="s">
        <v>188</v>
      </c>
      <c r="F50" s="576">
        <f>'Yr 1 Rate Comp'!F51</f>
        <v>3.7599999999999999E-3</v>
      </c>
      <c r="G50" s="116" t="s">
        <v>240</v>
      </c>
      <c r="I50" s="576">
        <f>'Yr 1 Rate Comp'!L51</f>
        <v>4.3900000000000007E-3</v>
      </c>
      <c r="K50" s="116" t="s">
        <v>240</v>
      </c>
      <c r="M50" s="576">
        <f>I50-F50</f>
        <v>6.3000000000000079E-4</v>
      </c>
      <c r="N50" s="595">
        <f t="shared" si="12"/>
        <v>0.1676</v>
      </c>
      <c r="P50" s="576">
        <f>'YR 2 Rate Comp'!L51</f>
        <v>5.0300000000000006E-3</v>
      </c>
      <c r="Q50" s="116" t="s">
        <v>240</v>
      </c>
      <c r="S50" s="576">
        <f>P50-I50</f>
        <v>6.3999999999999994E-4</v>
      </c>
      <c r="T50" s="595">
        <f t="shared" si="13"/>
        <v>0.14580000000000001</v>
      </c>
    </row>
    <row r="51" spans="3:20" x14ac:dyDescent="0.5">
      <c r="C51" s="116"/>
      <c r="D51" s="142"/>
      <c r="E51" s="116"/>
      <c r="F51" s="405"/>
      <c r="G51" s="116"/>
      <c r="I51" s="405"/>
      <c r="K51" s="116"/>
      <c r="M51" s="576"/>
      <c r="N51" s="576"/>
      <c r="P51" s="405"/>
      <c r="Q51" s="116"/>
      <c r="S51" s="576"/>
    </row>
    <row r="52" spans="3:20" x14ac:dyDescent="0.5">
      <c r="C52" s="592" t="s">
        <v>340</v>
      </c>
      <c r="D52" s="142"/>
      <c r="E52" s="116"/>
      <c r="F52" s="116"/>
      <c r="G52" s="116"/>
      <c r="I52" s="116"/>
      <c r="K52" s="116"/>
      <c r="M52" s="116"/>
      <c r="N52" s="116"/>
      <c r="P52" s="116"/>
      <c r="Q52" s="116"/>
    </row>
    <row r="53" spans="3:20" x14ac:dyDescent="0.5">
      <c r="C53" s="116" t="s">
        <v>51</v>
      </c>
      <c r="D53" s="142">
        <v>80000</v>
      </c>
      <c r="E53" s="116" t="s">
        <v>188</v>
      </c>
      <c r="F53" s="404">
        <f>'Yr 1 Rate Comp'!F54</f>
        <v>504.71</v>
      </c>
      <c r="G53" s="116" t="s">
        <v>241</v>
      </c>
      <c r="I53" s="404">
        <f>'Yr 1 Rate Comp'!L54</f>
        <v>590.5</v>
      </c>
      <c r="K53" s="116" t="s">
        <v>241</v>
      </c>
      <c r="M53" s="404">
        <f>I53-F53</f>
        <v>85.79000000000002</v>
      </c>
      <c r="N53" s="595">
        <f>ROUND(M53/F53,4)</f>
        <v>0.17</v>
      </c>
      <c r="P53" s="404">
        <f>'YR 2 Rate Comp'!L54</f>
        <v>677.16</v>
      </c>
      <c r="Q53" s="116" t="s">
        <v>241</v>
      </c>
      <c r="S53" s="404">
        <f>P53-I53</f>
        <v>86.659999999999968</v>
      </c>
      <c r="T53" s="595">
        <f>ROUND(S53/I53,4)</f>
        <v>0.14680000000000001</v>
      </c>
    </row>
    <row r="54" spans="3:20" x14ac:dyDescent="0.5">
      <c r="C54" s="116" t="s">
        <v>52</v>
      </c>
      <c r="D54" s="142">
        <v>20000</v>
      </c>
      <c r="E54" s="116" t="s">
        <v>188</v>
      </c>
      <c r="F54" s="576">
        <f>'Yr 1 Rate Comp'!F55</f>
        <v>4.5100000000000001E-3</v>
      </c>
      <c r="G54" s="116" t="s">
        <v>240</v>
      </c>
      <c r="I54" s="576">
        <f>'Yr 1 Rate Comp'!L55</f>
        <v>5.2700000000000004E-3</v>
      </c>
      <c r="K54" s="116" t="s">
        <v>240</v>
      </c>
      <c r="M54" s="576">
        <f>I54-F54</f>
        <v>7.6000000000000026E-4</v>
      </c>
      <c r="N54" s="595">
        <f t="shared" ref="N54:N55" si="14">ROUND(M54/F54,4)</f>
        <v>0.16850000000000001</v>
      </c>
      <c r="P54" s="576">
        <f>'YR 2 Rate Comp'!L55</f>
        <v>6.0400000000000002E-3</v>
      </c>
      <c r="Q54" s="116" t="s">
        <v>240</v>
      </c>
      <c r="S54" s="576">
        <f>P54-I54</f>
        <v>7.6999999999999985E-4</v>
      </c>
      <c r="T54" s="595">
        <f t="shared" ref="T54:T55" si="15">ROUND(S54/I54,4)</f>
        <v>0.14610000000000001</v>
      </c>
    </row>
    <row r="55" spans="3:20" x14ac:dyDescent="0.5">
      <c r="C55" s="116" t="s">
        <v>114</v>
      </c>
      <c r="D55" s="142">
        <f>SUM(D52:D54)</f>
        <v>100000</v>
      </c>
      <c r="E55" s="116" t="s">
        <v>188</v>
      </c>
      <c r="F55" s="576">
        <f>'Yr 1 Rate Comp'!F56</f>
        <v>3.7599999999999999E-3</v>
      </c>
      <c r="G55" s="116" t="s">
        <v>240</v>
      </c>
      <c r="I55" s="576">
        <f>'Yr 1 Rate Comp'!L56</f>
        <v>4.3900000000000007E-3</v>
      </c>
      <c r="K55" s="116" t="s">
        <v>240</v>
      </c>
      <c r="M55" s="576">
        <f>I55-F55</f>
        <v>6.3000000000000079E-4</v>
      </c>
      <c r="N55" s="595">
        <f t="shared" si="14"/>
        <v>0.1676</v>
      </c>
      <c r="P55" s="576">
        <f>'YR 2 Rate Comp'!L56</f>
        <v>5.0300000000000006E-3</v>
      </c>
      <c r="Q55" s="116" t="s">
        <v>240</v>
      </c>
      <c r="S55" s="576">
        <f>P55-I55</f>
        <v>6.3999999999999994E-4</v>
      </c>
      <c r="T55" s="595">
        <f t="shared" si="15"/>
        <v>0.14580000000000001</v>
      </c>
    </row>
    <row r="56" spans="3:20" x14ac:dyDescent="0.5">
      <c r="C56" s="116"/>
      <c r="D56" s="142"/>
      <c r="E56" s="116"/>
      <c r="F56" s="405"/>
      <c r="G56" s="116"/>
      <c r="I56" s="405"/>
      <c r="K56" s="116"/>
      <c r="M56" s="576"/>
      <c r="N56" s="576"/>
      <c r="P56" s="405"/>
      <c r="Q56" s="116"/>
      <c r="S56" s="576"/>
    </row>
    <row r="57" spans="3:20" x14ac:dyDescent="0.5">
      <c r="C57" s="592" t="s">
        <v>460</v>
      </c>
      <c r="D57" s="142"/>
      <c r="E57" s="116"/>
      <c r="F57" s="405"/>
      <c r="G57" s="116"/>
      <c r="I57" s="405"/>
      <c r="K57" s="116"/>
      <c r="M57" s="116"/>
      <c r="N57" s="116"/>
      <c r="P57" s="116"/>
      <c r="Q57" s="116"/>
      <c r="S57" s="405"/>
    </row>
    <row r="58" spans="3:20" x14ac:dyDescent="0.5">
      <c r="C58" s="588" t="s">
        <v>716</v>
      </c>
      <c r="D58" s="142"/>
      <c r="E58" s="116"/>
      <c r="F58" s="404">
        <f>'Yr 1 Rate Comp'!F59</f>
        <v>17.53</v>
      </c>
      <c r="G58" s="116"/>
      <c r="I58" s="404">
        <f>'Yr 1 Rate Comp'!L59</f>
        <v>20.51</v>
      </c>
      <c r="K58" s="116"/>
      <c r="M58" s="404">
        <f t="shared" ref="M58:M65" si="16">I58-F58</f>
        <v>2.9800000000000004</v>
      </c>
      <c r="N58" s="595">
        <f t="shared" ref="N58:N65" si="17">ROUND(M58/F58,4)</f>
        <v>0.17</v>
      </c>
      <c r="P58" s="404">
        <f>'YR 2 Rate Comp'!L59</f>
        <v>23.525000000000002</v>
      </c>
      <c r="Q58" s="116"/>
      <c r="S58" s="404">
        <f t="shared" ref="S58:S65" si="18">P58-I58</f>
        <v>3.0150000000000006</v>
      </c>
      <c r="T58" s="595">
        <f t="shared" ref="T58:T65" si="19">ROUND(S58/I58,4)</f>
        <v>0.14699999999999999</v>
      </c>
    </row>
    <row r="59" spans="3:20" x14ac:dyDescent="0.5">
      <c r="C59" s="588" t="s">
        <v>717</v>
      </c>
      <c r="D59" s="142"/>
      <c r="E59" s="116"/>
      <c r="F59" s="404">
        <f>'Yr 1 Rate Comp'!F60</f>
        <v>26.2</v>
      </c>
      <c r="G59" s="116"/>
      <c r="I59" s="404">
        <f>'Yr 1 Rate Comp'!L60</f>
        <v>30.65</v>
      </c>
      <c r="K59" s="116"/>
      <c r="M59" s="404">
        <f t="shared" si="16"/>
        <v>4.4499999999999993</v>
      </c>
      <c r="N59" s="595">
        <f t="shared" si="17"/>
        <v>0.16980000000000001</v>
      </c>
      <c r="P59" s="404">
        <f>'YR 2 Rate Comp'!L60</f>
        <v>35.155999999999999</v>
      </c>
      <c r="Q59" s="116"/>
      <c r="S59" s="404">
        <f t="shared" si="18"/>
        <v>4.5060000000000002</v>
      </c>
      <c r="T59" s="595">
        <f t="shared" si="19"/>
        <v>0.14699999999999999</v>
      </c>
    </row>
    <row r="60" spans="3:20" x14ac:dyDescent="0.5">
      <c r="C60" s="588" t="s">
        <v>357</v>
      </c>
      <c r="D60" s="142"/>
      <c r="E60" s="116"/>
      <c r="F60" s="404">
        <f>'Yr 1 Rate Comp'!F61</f>
        <v>68.05</v>
      </c>
      <c r="G60" s="116"/>
      <c r="I60" s="404">
        <f>'Yr 1 Rate Comp'!L61</f>
        <v>79.62</v>
      </c>
      <c r="K60" s="116"/>
      <c r="M60" s="404">
        <f t="shared" si="16"/>
        <v>11.570000000000007</v>
      </c>
      <c r="N60" s="595">
        <f t="shared" si="17"/>
        <v>0.17</v>
      </c>
      <c r="P60" s="404">
        <f>'YR 2 Rate Comp'!L61</f>
        <v>91.324000000000012</v>
      </c>
      <c r="Q60" s="116"/>
      <c r="S60" s="404">
        <f t="shared" si="18"/>
        <v>11.704000000000008</v>
      </c>
      <c r="T60" s="595">
        <f t="shared" si="19"/>
        <v>0.14699999999999999</v>
      </c>
    </row>
    <row r="61" spans="3:20" x14ac:dyDescent="0.5">
      <c r="C61" s="588" t="s">
        <v>345</v>
      </c>
      <c r="D61" s="142"/>
      <c r="E61" s="116"/>
      <c r="F61" s="404">
        <f>'Yr 1 Rate Comp'!F62</f>
        <v>147.91999999999999</v>
      </c>
      <c r="G61" s="116"/>
      <c r="I61" s="404">
        <f>'Yr 1 Rate Comp'!L62</f>
        <v>173.07</v>
      </c>
      <c r="K61" s="116"/>
      <c r="M61" s="404">
        <f t="shared" si="16"/>
        <v>25.150000000000006</v>
      </c>
      <c r="N61" s="595">
        <f t="shared" si="17"/>
        <v>0.17</v>
      </c>
      <c r="P61" s="404">
        <f>'YR 2 Rate Comp'!L62</f>
        <v>198.511</v>
      </c>
      <c r="Q61" s="116"/>
      <c r="S61" s="404">
        <f t="shared" si="18"/>
        <v>25.441000000000003</v>
      </c>
      <c r="T61" s="595">
        <f t="shared" si="19"/>
        <v>0.14699999999999999</v>
      </c>
    </row>
    <row r="62" spans="3:20" x14ac:dyDescent="0.5">
      <c r="C62" s="588" t="s">
        <v>346</v>
      </c>
      <c r="D62" s="142"/>
      <c r="E62" s="116"/>
      <c r="F62" s="404">
        <f>'Yr 1 Rate Comp'!F63</f>
        <v>340.77</v>
      </c>
      <c r="G62" s="116"/>
      <c r="I62" s="404">
        <f>'Yr 1 Rate Comp'!L63</f>
        <v>398.7</v>
      </c>
      <c r="K62" s="116"/>
      <c r="M62" s="404">
        <f t="shared" si="16"/>
        <v>57.930000000000007</v>
      </c>
      <c r="N62" s="595">
        <f t="shared" si="17"/>
        <v>0.17</v>
      </c>
      <c r="P62" s="404">
        <f>'YR 2 Rate Comp'!L63</f>
        <v>457.30899999999997</v>
      </c>
      <c r="Q62" s="116"/>
      <c r="S62" s="404">
        <f t="shared" si="18"/>
        <v>58.60899999999998</v>
      </c>
      <c r="T62" s="595">
        <f t="shared" si="19"/>
        <v>0.14699999999999999</v>
      </c>
    </row>
    <row r="63" spans="3:20" x14ac:dyDescent="0.5">
      <c r="C63" s="588" t="s">
        <v>710</v>
      </c>
      <c r="D63" s="142"/>
      <c r="E63" s="116"/>
      <c r="F63" s="404">
        <f>'Yr 1 Rate Comp'!F64</f>
        <v>658.17</v>
      </c>
      <c r="G63" s="116"/>
      <c r="I63" s="404">
        <f>'Yr 1 Rate Comp'!L64</f>
        <v>770.06</v>
      </c>
      <c r="K63" s="116"/>
      <c r="M63" s="404">
        <f t="shared" si="16"/>
        <v>111.88999999999999</v>
      </c>
      <c r="N63" s="595">
        <f t="shared" si="17"/>
        <v>0.17</v>
      </c>
      <c r="P63" s="404">
        <f>'YR 2 Rate Comp'!L64</f>
        <v>883.2589999999999</v>
      </c>
      <c r="Q63" s="116"/>
      <c r="S63" s="404">
        <f t="shared" si="18"/>
        <v>113.19899999999996</v>
      </c>
      <c r="T63" s="595">
        <f t="shared" si="19"/>
        <v>0.14699999999999999</v>
      </c>
    </row>
    <row r="64" spans="3:20" x14ac:dyDescent="0.5">
      <c r="C64" s="588" t="s">
        <v>718</v>
      </c>
      <c r="D64" s="142"/>
      <c r="E64" s="116"/>
      <c r="F64" s="404">
        <f>'Yr 1 Rate Comp'!F65</f>
        <v>1139.7</v>
      </c>
      <c r="G64" s="116"/>
      <c r="I64" s="404">
        <f>'Yr 1 Rate Comp'!L65</f>
        <v>1333.45</v>
      </c>
      <c r="K64" s="116"/>
      <c r="M64" s="404">
        <f t="shared" si="16"/>
        <v>193.75</v>
      </c>
      <c r="N64" s="595">
        <f t="shared" si="17"/>
        <v>0.17</v>
      </c>
      <c r="P64" s="404">
        <f>'YR 2 Rate Comp'!L65</f>
        <v>1529.4670000000001</v>
      </c>
      <c r="Q64" s="116"/>
      <c r="S64" s="404">
        <f t="shared" si="18"/>
        <v>196.01700000000005</v>
      </c>
      <c r="T64" s="595">
        <f t="shared" si="19"/>
        <v>0.14699999999999999</v>
      </c>
    </row>
    <row r="65" spans="3:20" x14ac:dyDescent="0.5">
      <c r="C65" s="588" t="s">
        <v>719</v>
      </c>
      <c r="F65" s="404">
        <f>'Yr 1 Rate Comp'!F66</f>
        <v>1799.31</v>
      </c>
      <c r="G65" s="116"/>
      <c r="I65" s="404">
        <f>'Yr 1 Rate Comp'!L66</f>
        <v>2105.19</v>
      </c>
      <c r="K65" s="116"/>
      <c r="M65" s="404">
        <f t="shared" si="16"/>
        <v>305.88000000000011</v>
      </c>
      <c r="N65" s="595">
        <f t="shared" si="17"/>
        <v>0.17</v>
      </c>
      <c r="P65" s="404">
        <f>'YR 2 Rate Comp'!L66</f>
        <v>2414.6530000000002</v>
      </c>
      <c r="Q65" s="116"/>
      <c r="S65" s="404">
        <f t="shared" si="18"/>
        <v>309.46300000000019</v>
      </c>
      <c r="T65" s="595">
        <f t="shared" si="19"/>
        <v>0.14699999999999999</v>
      </c>
    </row>
  </sheetData>
  <mergeCells count="10">
    <mergeCell ref="C6:E6"/>
    <mergeCell ref="P6:T6"/>
    <mergeCell ref="C2:T2"/>
    <mergeCell ref="C3:T3"/>
    <mergeCell ref="C4:T4"/>
    <mergeCell ref="M7:N7"/>
    <mergeCell ref="M8:N8"/>
    <mergeCell ref="I6:N6"/>
    <mergeCell ref="S7:T7"/>
    <mergeCell ref="S8:T8"/>
  </mergeCells>
  <phoneticPr fontId="5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F744-48F6-443B-ABE5-A5426F6BDAE1}">
  <dimension ref="A6:O58"/>
  <sheetViews>
    <sheetView topLeftCell="A35" workbookViewId="0">
      <selection activeCell="B46" sqref="B46:H59"/>
    </sheetView>
  </sheetViews>
  <sheetFormatPr defaultColWidth="8.77734375" defaultRowHeight="14.25" x14ac:dyDescent="0.45"/>
  <cols>
    <col min="1" max="1" width="1.77734375" style="3" customWidth="1"/>
    <col min="2" max="2" width="3.6640625" style="3" customWidth="1"/>
    <col min="3" max="3" width="2.6640625" style="3" customWidth="1"/>
    <col min="4" max="4" width="27.33203125" style="3" customWidth="1"/>
    <col min="5" max="5" width="9.77734375" style="3" customWidth="1"/>
    <col min="6" max="6" width="10.21875" style="3" customWidth="1"/>
    <col min="7" max="7" width="4.88671875" style="3" customWidth="1"/>
    <col min="8" max="8" width="9.88671875" style="3" customWidth="1"/>
    <col min="9" max="9" width="1.5546875" style="3" customWidth="1"/>
    <col min="10" max="12" width="10.5546875" style="3" customWidth="1"/>
    <col min="13" max="16384" width="8.77734375" style="3"/>
  </cols>
  <sheetData>
    <row r="6" spans="1:12" ht="16.5" x14ac:dyDescent="0.75">
      <c r="J6" s="608" t="s">
        <v>170</v>
      </c>
      <c r="K6" s="608"/>
    </row>
    <row r="7" spans="1:12" x14ac:dyDescent="0.45">
      <c r="A7" s="106"/>
      <c r="B7" s="15"/>
      <c r="C7" s="15"/>
      <c r="D7" s="15"/>
      <c r="E7" s="102" t="s">
        <v>55</v>
      </c>
      <c r="F7" s="102" t="s">
        <v>20</v>
      </c>
      <c r="G7" s="102" t="s">
        <v>34</v>
      </c>
      <c r="H7" s="102" t="s">
        <v>54</v>
      </c>
      <c r="I7" s="103"/>
      <c r="J7" s="102" t="s">
        <v>20</v>
      </c>
      <c r="K7" s="102" t="s">
        <v>54</v>
      </c>
      <c r="L7" s="104" t="s">
        <v>129</v>
      </c>
    </row>
    <row r="8" spans="1:12" x14ac:dyDescent="0.45">
      <c r="A8" s="106"/>
      <c r="B8" s="105" t="s">
        <v>2</v>
      </c>
      <c r="C8" s="15"/>
      <c r="D8" s="15"/>
      <c r="E8" s="15"/>
      <c r="F8" s="15"/>
      <c r="G8" s="15"/>
      <c r="H8" s="15"/>
      <c r="I8" s="63"/>
    </row>
    <row r="9" spans="1:12" x14ac:dyDescent="0.45">
      <c r="A9" s="106"/>
      <c r="B9" s="15"/>
      <c r="C9" s="15" t="s">
        <v>105</v>
      </c>
      <c r="D9" s="15"/>
      <c r="E9" s="15">
        <f>'SAO - Op Ratio'!F9</f>
        <v>2200475</v>
      </c>
      <c r="F9" s="61">
        <f>'SAO - DSC'!H9</f>
        <v>-23665.596599999815</v>
      </c>
      <c r="G9" s="107" t="s">
        <v>60</v>
      </c>
      <c r="H9" s="61"/>
      <c r="I9" s="63"/>
    </row>
    <row r="10" spans="1:12" x14ac:dyDescent="0.45">
      <c r="A10" s="106"/>
      <c r="B10" s="15"/>
      <c r="C10" s="15"/>
      <c r="D10" s="15"/>
      <c r="E10" s="15"/>
      <c r="F10" s="61">
        <f>'SAO - DSC'!H10</f>
        <v>-4</v>
      </c>
      <c r="G10" s="107"/>
      <c r="H10" s="61"/>
      <c r="I10" s="63"/>
    </row>
    <row r="11" spans="1:12" x14ac:dyDescent="0.45">
      <c r="A11" s="106"/>
      <c r="B11" s="15"/>
      <c r="C11" s="15"/>
      <c r="D11" s="15"/>
      <c r="E11" s="15"/>
      <c r="F11" s="61">
        <f>'SAO - DSC'!H11</f>
        <v>-23669.596599999815</v>
      </c>
      <c r="G11" s="107"/>
      <c r="H11" s="61"/>
      <c r="I11" s="63"/>
    </row>
    <row r="12" spans="1:12" x14ac:dyDescent="0.45">
      <c r="A12" s="106"/>
      <c r="B12" s="15"/>
      <c r="C12" s="15"/>
      <c r="D12" s="15"/>
      <c r="E12" s="15"/>
      <c r="F12" s="61" t="e">
        <f>'SAO - DSC'!#REF!</f>
        <v>#REF!</v>
      </c>
      <c r="G12" s="107"/>
      <c r="H12" s="61" t="e">
        <f>SUM(E9,F9,F10,F11,F12)</f>
        <v>#REF!</v>
      </c>
      <c r="I12" s="63"/>
      <c r="K12" s="3">
        <f>E9+J12</f>
        <v>2200475</v>
      </c>
    </row>
    <row r="13" spans="1:12" x14ac:dyDescent="0.45">
      <c r="A13" s="106"/>
      <c r="B13" s="15"/>
      <c r="C13" s="15" t="s">
        <v>108</v>
      </c>
      <c r="D13" s="15"/>
      <c r="E13" s="61"/>
      <c r="F13" s="4"/>
      <c r="G13" s="107"/>
      <c r="H13" s="61">
        <f t="shared" ref="H13:H17" si="0">SUM(E13,F13)</f>
        <v>0</v>
      </c>
      <c r="I13" s="63"/>
      <c r="K13" s="3">
        <f t="shared" ref="K13:K17" si="1">E13+J13</f>
        <v>0</v>
      </c>
    </row>
    <row r="14" spans="1:12" x14ac:dyDescent="0.45">
      <c r="A14" s="106"/>
      <c r="B14" s="15"/>
      <c r="C14" s="15" t="s">
        <v>28</v>
      </c>
      <c r="D14" s="15"/>
      <c r="E14" s="15"/>
      <c r="F14" s="61"/>
      <c r="G14" s="107"/>
      <c r="H14" s="61">
        <f t="shared" si="0"/>
        <v>0</v>
      </c>
      <c r="I14" s="63"/>
      <c r="K14" s="3">
        <f t="shared" si="1"/>
        <v>0</v>
      </c>
    </row>
    <row r="15" spans="1:12" x14ac:dyDescent="0.45">
      <c r="A15" s="106"/>
      <c r="B15" s="15"/>
      <c r="C15" s="15"/>
      <c r="D15" s="15" t="s">
        <v>26</v>
      </c>
      <c r="E15" s="61">
        <f>'SAO - DSC'!F13</f>
        <v>32405</v>
      </c>
      <c r="F15" s="61">
        <f>'SAO - DSC'!H13</f>
        <v>0</v>
      </c>
      <c r="G15" s="107"/>
      <c r="H15" s="61">
        <f t="shared" si="0"/>
        <v>32405</v>
      </c>
      <c r="I15" s="63"/>
      <c r="K15" s="3">
        <f t="shared" si="1"/>
        <v>32405</v>
      </c>
    </row>
    <row r="16" spans="1:12" x14ac:dyDescent="0.45">
      <c r="A16" s="106"/>
      <c r="B16" s="15"/>
      <c r="C16" s="15"/>
      <c r="D16" s="15" t="s">
        <v>27</v>
      </c>
      <c r="E16" s="61">
        <f>'SAO - DSC'!F14</f>
        <v>28185</v>
      </c>
      <c r="F16" s="61">
        <f>'SAO - DSC'!H14</f>
        <v>0</v>
      </c>
      <c r="G16" s="107"/>
      <c r="H16" s="61">
        <f t="shared" si="0"/>
        <v>28185</v>
      </c>
      <c r="I16" s="63"/>
      <c r="J16" s="50"/>
      <c r="K16" s="3">
        <f t="shared" si="1"/>
        <v>28185</v>
      </c>
    </row>
    <row r="17" spans="1:15" ht="16.5" x14ac:dyDescent="0.75">
      <c r="A17" s="106"/>
      <c r="B17" s="15"/>
      <c r="C17" s="15"/>
      <c r="D17" s="3" t="s">
        <v>109</v>
      </c>
      <c r="E17" s="241">
        <f>'SAO - DSC'!F15</f>
        <v>256</v>
      </c>
      <c r="F17" s="61">
        <f>'SAO - DSC'!H15</f>
        <v>0</v>
      </c>
      <c r="G17" s="107" t="s">
        <v>61</v>
      </c>
      <c r="H17" s="61">
        <f t="shared" si="0"/>
        <v>256</v>
      </c>
      <c r="I17" s="65"/>
      <c r="K17" s="24">
        <f t="shared" si="1"/>
        <v>256</v>
      </c>
    </row>
    <row r="18" spans="1:15" x14ac:dyDescent="0.45">
      <c r="A18" s="106"/>
      <c r="B18" s="95" t="s">
        <v>3</v>
      </c>
      <c r="C18" s="15"/>
      <c r="D18" s="15"/>
      <c r="E18" s="15">
        <f>SUM(E9:E17)</f>
        <v>2261321</v>
      </c>
      <c r="F18" s="61"/>
      <c r="G18" s="107"/>
      <c r="H18" s="15" t="e">
        <f>SUM(H9:H17)</f>
        <v>#REF!</v>
      </c>
      <c r="I18" s="63"/>
      <c r="K18" s="15">
        <f>SUM(K9:K17)</f>
        <v>2261321</v>
      </c>
      <c r="L18" s="3" t="e">
        <f>K18-H18</f>
        <v>#REF!</v>
      </c>
    </row>
    <row r="19" spans="1:15" x14ac:dyDescent="0.45">
      <c r="A19" s="106"/>
      <c r="B19" s="15"/>
      <c r="C19" s="15"/>
      <c r="D19" s="15"/>
      <c r="E19" s="15"/>
      <c r="F19" s="61"/>
      <c r="G19" s="107"/>
      <c r="H19" s="15"/>
      <c r="I19" s="63"/>
    </row>
    <row r="20" spans="1:15" x14ac:dyDescent="0.45">
      <c r="A20" s="106"/>
      <c r="B20" s="105" t="s">
        <v>4</v>
      </c>
      <c r="C20" s="15"/>
      <c r="D20" s="15"/>
      <c r="E20" s="15"/>
      <c r="F20" s="61"/>
      <c r="G20" s="107"/>
      <c r="H20" s="15"/>
      <c r="I20" s="63"/>
    </row>
    <row r="21" spans="1:15" x14ac:dyDescent="0.45">
      <c r="A21" s="106"/>
      <c r="B21" s="15"/>
      <c r="C21" s="15" t="s">
        <v>8</v>
      </c>
      <c r="D21" s="15"/>
      <c r="E21" s="61"/>
      <c r="F21" s="61"/>
      <c r="G21" s="107"/>
      <c r="H21" s="15"/>
      <c r="I21" s="63"/>
    </row>
    <row r="22" spans="1:15" x14ac:dyDescent="0.45">
      <c r="A22" s="106"/>
      <c r="B22" s="15"/>
      <c r="C22" s="15"/>
      <c r="D22" s="15" t="s">
        <v>12</v>
      </c>
      <c r="E22" s="61">
        <f>'SAO - DSC'!F19</f>
        <v>430015</v>
      </c>
      <c r="F22" s="61">
        <f>'SAO - DSC'!H19</f>
        <v>97269.81868280092</v>
      </c>
      <c r="G22" s="107" t="s">
        <v>62</v>
      </c>
      <c r="H22" s="15"/>
      <c r="I22" s="63"/>
    </row>
    <row r="23" spans="1:15" x14ac:dyDescent="0.45">
      <c r="A23" s="106"/>
      <c r="B23" s="15"/>
      <c r="C23" s="15"/>
      <c r="D23" s="15"/>
      <c r="E23" s="61"/>
      <c r="F23" s="61" t="e">
        <f>'SAO - DSC'!#REF!</f>
        <v>#REF!</v>
      </c>
      <c r="G23" s="107" t="s">
        <v>98</v>
      </c>
      <c r="H23" s="15" t="e">
        <f>SUM(E22,F22,F23)</f>
        <v>#REF!</v>
      </c>
      <c r="I23" s="63"/>
      <c r="J23" s="50"/>
      <c r="K23" s="3">
        <f>E22+J23</f>
        <v>430015</v>
      </c>
      <c r="M23" s="50" t="s">
        <v>171</v>
      </c>
      <c r="O23" s="3">
        <v>119792</v>
      </c>
    </row>
    <row r="24" spans="1:15" x14ac:dyDescent="0.45">
      <c r="A24" s="106"/>
      <c r="B24" s="15"/>
      <c r="C24" s="15"/>
      <c r="D24" s="15" t="s">
        <v>13</v>
      </c>
      <c r="E24" s="61">
        <f>'SAO - DSC'!F20</f>
        <v>18000</v>
      </c>
      <c r="F24" s="61">
        <f>'SAO - DSC'!H20</f>
        <v>0</v>
      </c>
      <c r="G24" s="107" t="s">
        <v>62</v>
      </c>
      <c r="H24" s="15">
        <f t="shared" ref="H24:H36" si="2">E24+F24</f>
        <v>18000</v>
      </c>
      <c r="I24" s="63"/>
      <c r="K24" s="3">
        <f>E24+J24</f>
        <v>18000</v>
      </c>
      <c r="L24" s="3">
        <f t="shared" ref="L24:L43" si="3">K24-H24</f>
        <v>0</v>
      </c>
      <c r="O24" s="3">
        <v>7200</v>
      </c>
    </row>
    <row r="25" spans="1:15" x14ac:dyDescent="0.45">
      <c r="A25" s="106"/>
      <c r="B25" s="15"/>
      <c r="C25" s="15"/>
      <c r="D25" s="15" t="s">
        <v>14</v>
      </c>
      <c r="E25" s="61">
        <f>'SAO - DSC'!F21</f>
        <v>220330</v>
      </c>
      <c r="F25" s="61">
        <f>'SAO - DSC'!H21</f>
        <v>-38509.556009471999</v>
      </c>
      <c r="G25" s="80" t="s">
        <v>64</v>
      </c>
      <c r="H25" s="15"/>
      <c r="I25" s="63"/>
      <c r="L25" s="3">
        <f t="shared" si="3"/>
        <v>0</v>
      </c>
    </row>
    <row r="26" spans="1:15" x14ac:dyDescent="0.45">
      <c r="A26" s="106"/>
      <c r="B26" s="15"/>
      <c r="C26" s="15"/>
      <c r="D26" s="15"/>
      <c r="E26" s="61"/>
      <c r="F26" s="61">
        <f>'SAO - DSC'!H22</f>
        <v>5250</v>
      </c>
      <c r="G26" s="107" t="s">
        <v>65</v>
      </c>
      <c r="H26" s="15">
        <f>SUM(E25,F25,F26)</f>
        <v>187070.443990528</v>
      </c>
      <c r="I26" s="63"/>
      <c r="K26" s="3">
        <f>E25+J26</f>
        <v>220330</v>
      </c>
      <c r="L26" s="3">
        <f t="shared" si="3"/>
        <v>33259.556009471999</v>
      </c>
      <c r="O26" s="3">
        <v>19368</v>
      </c>
    </row>
    <row r="27" spans="1:15" x14ac:dyDescent="0.45">
      <c r="A27" s="106"/>
      <c r="B27" s="15"/>
      <c r="C27" s="15"/>
      <c r="D27" s="15" t="s">
        <v>15</v>
      </c>
      <c r="E27" s="61">
        <f>'SAO - DSC'!F24</f>
        <v>154303</v>
      </c>
      <c r="F27" s="61">
        <f>'SAO - DSC'!H24</f>
        <v>-10428</v>
      </c>
      <c r="G27" s="80" t="s">
        <v>67</v>
      </c>
      <c r="H27" s="15"/>
      <c r="I27" s="63"/>
      <c r="L27" s="3">
        <f t="shared" si="3"/>
        <v>0</v>
      </c>
    </row>
    <row r="28" spans="1:15" x14ac:dyDescent="0.45">
      <c r="A28" s="106"/>
      <c r="B28" s="15"/>
      <c r="C28" s="15"/>
      <c r="D28" s="15"/>
      <c r="E28" s="61"/>
      <c r="F28" s="61" t="e">
        <f>'SAO - DSC'!#REF!</f>
        <v>#REF!</v>
      </c>
      <c r="G28" s="80"/>
      <c r="H28" s="15"/>
      <c r="I28" s="63"/>
    </row>
    <row r="29" spans="1:15" x14ac:dyDescent="0.45">
      <c r="A29" s="106"/>
      <c r="B29" s="15"/>
      <c r="C29" s="15"/>
      <c r="D29" s="15"/>
      <c r="E29" s="61"/>
      <c r="F29" s="61">
        <f>'SAO - DSC'!H25</f>
        <v>-6006</v>
      </c>
      <c r="G29" s="80" t="s">
        <v>67</v>
      </c>
      <c r="H29" s="15" t="e">
        <f>SUM(E27,F27,F28,F29)</f>
        <v>#REF!</v>
      </c>
      <c r="I29" s="63"/>
      <c r="K29" s="3">
        <f>E27+J29</f>
        <v>154303</v>
      </c>
      <c r="L29" s="3" t="e">
        <f t="shared" si="3"/>
        <v>#REF!</v>
      </c>
      <c r="O29" s="3">
        <v>157944</v>
      </c>
    </row>
    <row r="30" spans="1:15" x14ac:dyDescent="0.45">
      <c r="A30" s="106"/>
      <c r="B30" s="15"/>
      <c r="C30" s="15"/>
      <c r="D30" s="15" t="s">
        <v>16</v>
      </c>
      <c r="E30" s="61"/>
      <c r="F30" s="61"/>
      <c r="G30" s="80"/>
      <c r="H30" s="15">
        <f t="shared" si="2"/>
        <v>0</v>
      </c>
      <c r="I30" s="63"/>
      <c r="K30" s="3">
        <f t="shared" ref="K30:K36" si="4">J30+E30</f>
        <v>0</v>
      </c>
      <c r="L30" s="3">
        <f t="shared" si="3"/>
        <v>0</v>
      </c>
      <c r="O30" s="3">
        <v>3167</v>
      </c>
    </row>
    <row r="31" spans="1:15" x14ac:dyDescent="0.45">
      <c r="A31" s="106"/>
      <c r="B31" s="15"/>
      <c r="C31" s="15"/>
      <c r="D31" s="15" t="s">
        <v>50</v>
      </c>
      <c r="E31" s="61">
        <f>'SAO - DSC'!F26</f>
        <v>86124</v>
      </c>
      <c r="F31" s="61">
        <f>-Adj!V13</f>
        <v>-2800</v>
      </c>
      <c r="G31" s="107" t="s">
        <v>63</v>
      </c>
      <c r="H31" s="15">
        <f t="shared" si="2"/>
        <v>83324</v>
      </c>
      <c r="I31" s="63"/>
      <c r="K31" s="3">
        <f t="shared" si="4"/>
        <v>86124</v>
      </c>
      <c r="L31" s="3">
        <f t="shared" si="3"/>
        <v>2800</v>
      </c>
      <c r="M31" s="3" t="s">
        <v>172</v>
      </c>
      <c r="O31" s="3">
        <v>7470</v>
      </c>
    </row>
    <row r="32" spans="1:15" x14ac:dyDescent="0.45">
      <c r="A32" s="106"/>
      <c r="B32" s="15"/>
      <c r="C32" s="15"/>
      <c r="D32" s="15" t="s">
        <v>17</v>
      </c>
      <c r="E32" s="61">
        <f>'SAO - DSC'!F27</f>
        <v>6041</v>
      </c>
      <c r="F32" s="61"/>
      <c r="H32" s="15">
        <f t="shared" si="2"/>
        <v>6041</v>
      </c>
      <c r="I32" s="63"/>
      <c r="K32" s="3">
        <f t="shared" si="4"/>
        <v>6041</v>
      </c>
      <c r="L32" s="3">
        <f t="shared" si="3"/>
        <v>0</v>
      </c>
      <c r="M32" s="3" t="s">
        <v>174</v>
      </c>
      <c r="O32" s="3">
        <v>3847</v>
      </c>
    </row>
    <row r="33" spans="1:15" x14ac:dyDescent="0.45">
      <c r="A33" s="106"/>
      <c r="B33" s="15"/>
      <c r="C33" s="15"/>
      <c r="D33" s="15" t="s">
        <v>22</v>
      </c>
      <c r="E33" s="61">
        <f>'SAO - DSC'!F30</f>
        <v>199571</v>
      </c>
      <c r="F33" s="61"/>
      <c r="G33" s="107"/>
      <c r="H33" s="15">
        <f t="shared" si="2"/>
        <v>199571</v>
      </c>
      <c r="I33" s="63"/>
      <c r="K33" s="3">
        <f t="shared" si="4"/>
        <v>199571</v>
      </c>
      <c r="L33" s="3">
        <f t="shared" si="3"/>
        <v>0</v>
      </c>
      <c r="O33" s="3">
        <v>1503</v>
      </c>
    </row>
    <row r="34" spans="1:15" x14ac:dyDescent="0.45">
      <c r="A34" s="106"/>
      <c r="B34" s="15"/>
      <c r="C34" s="15"/>
      <c r="D34" s="15" t="s">
        <v>107</v>
      </c>
      <c r="E34" s="61">
        <f>'SAO - DSC'!F31</f>
        <v>16295</v>
      </c>
      <c r="F34" s="61"/>
      <c r="G34" s="107"/>
      <c r="H34" s="15">
        <f t="shared" si="2"/>
        <v>16295</v>
      </c>
      <c r="I34" s="63"/>
      <c r="K34" s="3">
        <f t="shared" si="4"/>
        <v>16295</v>
      </c>
      <c r="L34" s="3">
        <f t="shared" si="3"/>
        <v>0</v>
      </c>
      <c r="O34" s="3">
        <v>8171</v>
      </c>
    </row>
    <row r="35" spans="1:15" x14ac:dyDescent="0.45">
      <c r="A35" s="106"/>
      <c r="B35" s="15"/>
      <c r="C35" s="15"/>
      <c r="D35" s="15" t="s">
        <v>110</v>
      </c>
      <c r="E35" s="61">
        <f>'SAO - DSC'!F32</f>
        <v>95606</v>
      </c>
      <c r="F35" s="61"/>
      <c r="G35" s="107"/>
      <c r="H35" s="15">
        <f t="shared" si="2"/>
        <v>95606</v>
      </c>
      <c r="I35" s="63"/>
      <c r="K35" s="3">
        <f t="shared" si="4"/>
        <v>95606</v>
      </c>
      <c r="L35" s="3">
        <f t="shared" si="3"/>
        <v>0</v>
      </c>
      <c r="O35" s="3">
        <v>800</v>
      </c>
    </row>
    <row r="36" spans="1:15" x14ac:dyDescent="0.45">
      <c r="A36" s="106"/>
      <c r="B36" s="15"/>
      <c r="C36" s="15"/>
      <c r="D36" s="15" t="s">
        <v>100</v>
      </c>
      <c r="E36" s="61">
        <f>'SAO - DSC'!F34</f>
        <v>21712</v>
      </c>
      <c r="F36" s="61"/>
      <c r="G36" s="107"/>
      <c r="H36" s="15">
        <f t="shared" si="2"/>
        <v>21712</v>
      </c>
      <c r="I36" s="63"/>
      <c r="K36" s="3">
        <f t="shared" si="4"/>
        <v>21712</v>
      </c>
      <c r="L36" s="3">
        <f t="shared" si="3"/>
        <v>0</v>
      </c>
    </row>
    <row r="37" spans="1:15" ht="16.5" x14ac:dyDescent="0.75">
      <c r="A37" s="106"/>
      <c r="B37" s="15"/>
      <c r="C37" s="15"/>
      <c r="D37" s="15" t="s">
        <v>18</v>
      </c>
      <c r="E37" s="61">
        <f>'SAO - DSC'!F35</f>
        <v>2828</v>
      </c>
      <c r="F37" s="61">
        <f>'SAO - DSC'!H35</f>
        <v>0</v>
      </c>
      <c r="G37" s="107"/>
      <c r="H37" s="15"/>
      <c r="I37" s="65"/>
      <c r="J37" s="24"/>
      <c r="K37" s="24"/>
      <c r="L37" s="3">
        <f t="shared" si="3"/>
        <v>0</v>
      </c>
      <c r="O37" s="3">
        <v>69339</v>
      </c>
    </row>
    <row r="38" spans="1:15" ht="16.5" x14ac:dyDescent="0.75">
      <c r="A38" s="106"/>
      <c r="B38" s="15"/>
      <c r="C38" s="15"/>
      <c r="D38" s="15"/>
      <c r="E38" s="242"/>
      <c r="F38" s="241">
        <f>'SAO - DSC'!H36</f>
        <v>0</v>
      </c>
      <c r="G38" s="24"/>
      <c r="H38" s="64">
        <f>SUM(E37,F37,F38)</f>
        <v>2828</v>
      </c>
      <c r="I38" s="65"/>
      <c r="J38" s="24"/>
      <c r="K38" s="24">
        <f>E37+J38</f>
        <v>2828</v>
      </c>
      <c r="O38" s="3">
        <v>398601</v>
      </c>
    </row>
    <row r="39" spans="1:15" x14ac:dyDescent="0.45">
      <c r="A39" s="106"/>
      <c r="B39" s="15"/>
      <c r="C39" s="95" t="s">
        <v>9</v>
      </c>
      <c r="D39" s="15"/>
      <c r="E39" s="61">
        <f>SUM(E22:E37)</f>
        <v>1250825</v>
      </c>
      <c r="F39" s="61"/>
      <c r="G39" s="107"/>
      <c r="H39" s="15" t="e">
        <f>SUM(H22:H38)</f>
        <v>#REF!</v>
      </c>
      <c r="I39" s="63"/>
      <c r="J39" s="61"/>
      <c r="K39" s="61">
        <f>SUM(K22:K38)</f>
        <v>1250825</v>
      </c>
      <c r="L39" s="3" t="e">
        <f t="shared" si="3"/>
        <v>#REF!</v>
      </c>
    </row>
    <row r="40" spans="1:15" x14ac:dyDescent="0.45">
      <c r="A40" s="106"/>
      <c r="B40" s="15"/>
      <c r="C40" s="15" t="s">
        <v>10</v>
      </c>
      <c r="D40" s="15"/>
      <c r="E40" s="61">
        <f>'SAO - DSC'!F38</f>
        <v>4944</v>
      </c>
      <c r="F40" s="61">
        <f>'SAO - DSC'!H38</f>
        <v>0</v>
      </c>
      <c r="G40" s="80" t="s">
        <v>68</v>
      </c>
      <c r="H40" s="15"/>
      <c r="I40" s="63"/>
      <c r="K40" s="3">
        <f>E40+J40</f>
        <v>4944</v>
      </c>
      <c r="L40" s="3">
        <f t="shared" si="3"/>
        <v>4944</v>
      </c>
    </row>
    <row r="41" spans="1:15" x14ac:dyDescent="0.45">
      <c r="A41" s="106"/>
      <c r="B41" s="15"/>
      <c r="C41" s="15"/>
      <c r="D41" s="15"/>
      <c r="E41" s="61"/>
      <c r="F41" s="61" t="e">
        <f>'SAO - DSC'!#REF!</f>
        <v>#REF!</v>
      </c>
      <c r="G41" s="80"/>
      <c r="H41" s="15" t="e">
        <f>SUM(E40,F40,F41)</f>
        <v>#REF!</v>
      </c>
      <c r="I41" s="63"/>
    </row>
    <row r="42" spans="1:15" ht="16.5" x14ac:dyDescent="0.75">
      <c r="A42" s="106"/>
      <c r="B42" s="15"/>
      <c r="C42" s="15" t="s">
        <v>11</v>
      </c>
      <c r="D42" s="15"/>
      <c r="E42" s="64" t="e">
        <f>'SAO - DSC'!#REF!</f>
        <v>#REF!</v>
      </c>
      <c r="F42" s="61" t="e">
        <f>'SAO - DSC'!#REF!</f>
        <v>#REF!</v>
      </c>
      <c r="G42" s="80" t="s">
        <v>98</v>
      </c>
      <c r="H42" s="64" t="e">
        <f>E42+F42</f>
        <v>#REF!</v>
      </c>
      <c r="I42" s="65"/>
      <c r="J42" s="24"/>
      <c r="K42" s="24" t="e">
        <f>E42+J42</f>
        <v>#REF!</v>
      </c>
      <c r="L42" s="3" t="e">
        <f t="shared" si="3"/>
        <v>#REF!</v>
      </c>
    </row>
    <row r="43" spans="1:15" x14ac:dyDescent="0.45">
      <c r="A43" s="106"/>
      <c r="B43" s="95" t="s">
        <v>5</v>
      </c>
      <c r="C43" s="15"/>
      <c r="D43" s="15"/>
      <c r="E43" s="15" t="e">
        <f>SUM(E39:E42)</f>
        <v>#REF!</v>
      </c>
      <c r="F43" s="61"/>
      <c r="G43" s="107"/>
      <c r="H43" s="15" t="e">
        <f>SUM(H39:H42)</f>
        <v>#REF!</v>
      </c>
      <c r="I43" s="63"/>
      <c r="K43" s="3" t="e">
        <f>SUM(K39:K42)</f>
        <v>#REF!</v>
      </c>
      <c r="L43" s="3" t="e">
        <f t="shared" si="3"/>
        <v>#REF!</v>
      </c>
    </row>
    <row r="44" spans="1:15" x14ac:dyDescent="0.45">
      <c r="A44" s="106"/>
      <c r="B44" s="95" t="s">
        <v>23</v>
      </c>
      <c r="C44" s="15"/>
      <c r="D44" s="15"/>
      <c r="E44" s="15" t="e">
        <f>E18-E43</f>
        <v>#REF!</v>
      </c>
      <c r="F44" s="61"/>
      <c r="G44" s="107"/>
      <c r="H44" s="15" t="e">
        <f>H18-H43</f>
        <v>#REF!</v>
      </c>
      <c r="I44" s="63"/>
    </row>
    <row r="45" spans="1:15" x14ac:dyDescent="0.45">
      <c r="A45" s="106"/>
      <c r="B45" s="15"/>
      <c r="C45" s="15"/>
      <c r="D45" s="15"/>
      <c r="E45" s="15"/>
      <c r="F45" s="15"/>
      <c r="G45" s="107"/>
      <c r="H45" s="15"/>
      <c r="I45" s="63"/>
    </row>
    <row r="46" spans="1:15" ht="16.5" x14ac:dyDescent="0.45">
      <c r="A46" s="106"/>
      <c r="B46" s="607" t="s">
        <v>33</v>
      </c>
      <c r="C46" s="607"/>
      <c r="D46" s="607"/>
      <c r="E46" s="607"/>
      <c r="F46" s="607"/>
      <c r="G46" s="607"/>
      <c r="H46" s="607"/>
      <c r="I46" s="108"/>
    </row>
    <row r="47" spans="1:15" x14ac:dyDescent="0.45">
      <c r="A47" s="106"/>
      <c r="B47" s="95" t="s">
        <v>6</v>
      </c>
      <c r="C47" s="15"/>
      <c r="D47" s="15"/>
      <c r="F47" s="15"/>
      <c r="G47" s="107"/>
      <c r="H47" s="15" t="e">
        <f>H43</f>
        <v>#REF!</v>
      </c>
      <c r="I47" s="63"/>
      <c r="K47" s="15" t="e">
        <f>K43</f>
        <v>#REF!</v>
      </c>
    </row>
    <row r="48" spans="1:15" x14ac:dyDescent="0.45">
      <c r="A48" s="106"/>
      <c r="B48" s="15" t="s">
        <v>58</v>
      </c>
      <c r="C48" s="15"/>
      <c r="D48" s="15" t="s">
        <v>35</v>
      </c>
      <c r="F48" s="15"/>
      <c r="G48" s="80" t="s">
        <v>139</v>
      </c>
      <c r="H48" s="4" t="e">
        <f>'Debt Sch'!#REF!</f>
        <v>#REF!</v>
      </c>
      <c r="I48" s="91"/>
      <c r="K48" s="4" t="e">
        <f>H48</f>
        <v>#REF!</v>
      </c>
    </row>
    <row r="49" spans="1:11" ht="16.5" x14ac:dyDescent="0.45">
      <c r="A49" s="106"/>
      <c r="B49" s="15"/>
      <c r="C49" s="15"/>
      <c r="D49" s="15" t="s">
        <v>19</v>
      </c>
      <c r="F49" s="15"/>
      <c r="G49" s="80" t="s">
        <v>160</v>
      </c>
      <c r="H49" s="64" t="e">
        <f>'Debt Sch'!#REF!</f>
        <v>#REF!</v>
      </c>
      <c r="I49" s="65"/>
      <c r="K49" s="64" t="e">
        <f>H49</f>
        <v>#REF!</v>
      </c>
    </row>
    <row r="50" spans="1:11" x14ac:dyDescent="0.45">
      <c r="A50" s="106"/>
      <c r="B50" s="95" t="s">
        <v>24</v>
      </c>
      <c r="C50" s="15"/>
      <c r="D50" s="15"/>
      <c r="F50" s="15"/>
      <c r="G50" s="107"/>
      <c r="H50" s="15" t="e">
        <f>SUM(H47:H49)</f>
        <v>#REF!</v>
      </c>
      <c r="I50" s="63"/>
      <c r="K50" s="15" t="e">
        <f>SUM(K47:K49)</f>
        <v>#REF!</v>
      </c>
    </row>
    <row r="51" spans="1:11" x14ac:dyDescent="0.45">
      <c r="A51" s="106"/>
      <c r="B51" s="15" t="s">
        <v>59</v>
      </c>
      <c r="C51" s="15"/>
      <c r="D51" s="15" t="s">
        <v>7</v>
      </c>
      <c r="F51" s="15"/>
      <c r="G51" s="107"/>
      <c r="H51" s="69">
        <f>-SUM(H15:H17)</f>
        <v>-60846</v>
      </c>
      <c r="I51" s="70"/>
      <c r="K51" s="69">
        <f>-SUM(K15:K17)</f>
        <v>-60846</v>
      </c>
    </row>
    <row r="52" spans="1:11" x14ac:dyDescent="0.45">
      <c r="A52" s="106"/>
      <c r="B52" s="15"/>
      <c r="C52" s="15"/>
      <c r="D52" s="15" t="s">
        <v>137</v>
      </c>
      <c r="F52" s="15"/>
      <c r="G52" s="107"/>
      <c r="H52" s="69">
        <v>-18472</v>
      </c>
      <c r="I52" s="70"/>
      <c r="K52" s="69">
        <v>-18472</v>
      </c>
    </row>
    <row r="53" spans="1:11" x14ac:dyDescent="0.45">
      <c r="A53" s="106"/>
      <c r="B53" s="15"/>
      <c r="C53" s="15"/>
      <c r="D53" s="15" t="s">
        <v>138</v>
      </c>
      <c r="E53" s="66">
        <v>18714</v>
      </c>
      <c r="F53" s="61">
        <v>-18714</v>
      </c>
      <c r="G53" s="107" t="s">
        <v>168</v>
      </c>
      <c r="H53" s="69">
        <f>E53+F53</f>
        <v>0</v>
      </c>
      <c r="I53" s="70"/>
      <c r="K53" s="69">
        <f>H53+I53</f>
        <v>0</v>
      </c>
    </row>
    <row r="54" spans="1:11" x14ac:dyDescent="0.45">
      <c r="A54" s="106"/>
      <c r="B54" s="15"/>
      <c r="C54" s="15"/>
      <c r="D54" s="15" t="s">
        <v>36</v>
      </c>
      <c r="F54" s="15"/>
      <c r="G54" s="107"/>
      <c r="H54" s="69">
        <v>-25659</v>
      </c>
      <c r="I54" s="70"/>
      <c r="K54" s="69">
        <v>-25659</v>
      </c>
    </row>
    <row r="55" spans="1:11" ht="16.5" x14ac:dyDescent="0.45">
      <c r="A55" s="106"/>
      <c r="B55" s="15"/>
      <c r="C55" s="15"/>
      <c r="D55" s="3" t="s">
        <v>111</v>
      </c>
      <c r="F55" s="15"/>
      <c r="G55" s="107"/>
      <c r="H55" s="64">
        <v>-5351</v>
      </c>
      <c r="I55" s="65"/>
      <c r="K55" s="64">
        <v>-5351</v>
      </c>
    </row>
    <row r="56" spans="1:11" x14ac:dyDescent="0.45">
      <c r="A56" s="106"/>
      <c r="B56" s="95" t="s">
        <v>69</v>
      </c>
      <c r="C56" s="15"/>
      <c r="D56" s="15"/>
      <c r="F56" s="15"/>
      <c r="G56" s="107"/>
      <c r="H56" s="61" t="e">
        <f>H50+SUM(H51:H55)</f>
        <v>#REF!</v>
      </c>
      <c r="I56" s="63"/>
      <c r="K56" s="61" t="e">
        <f>K50+SUM(K51:K55)</f>
        <v>#REF!</v>
      </c>
    </row>
    <row r="57" spans="1:11" ht="16.5" x14ac:dyDescent="0.45">
      <c r="A57" s="106"/>
      <c r="B57" s="15"/>
      <c r="C57" s="15"/>
      <c r="D57" s="15" t="s">
        <v>25</v>
      </c>
      <c r="F57" s="15"/>
      <c r="G57" s="107"/>
      <c r="H57" s="64">
        <f>H9+H13</f>
        <v>0</v>
      </c>
      <c r="I57" s="65"/>
      <c r="K57" s="64">
        <f>K9+K13</f>
        <v>0</v>
      </c>
    </row>
    <row r="58" spans="1:11" x14ac:dyDescent="0.45">
      <c r="A58" s="106"/>
      <c r="B58" s="95" t="s">
        <v>169</v>
      </c>
      <c r="C58" s="15"/>
      <c r="D58" s="15"/>
      <c r="F58" s="15"/>
      <c r="G58" s="107"/>
      <c r="H58" s="95" t="e">
        <f>H56-H57</f>
        <v>#REF!</v>
      </c>
      <c r="I58" s="63"/>
      <c r="K58" s="95" t="e">
        <f>K56-K57</f>
        <v>#REF!</v>
      </c>
    </row>
  </sheetData>
  <mergeCells count="2">
    <mergeCell ref="B46:H46"/>
    <mergeCell ref="J6:K6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D277-E600-4E0C-8F0A-F0BA45C148A0}">
  <dimension ref="B2:N64"/>
  <sheetViews>
    <sheetView showGridLines="0" topLeftCell="D47" workbookViewId="0">
      <selection activeCell="M12" sqref="M12:M13"/>
    </sheetView>
  </sheetViews>
  <sheetFormatPr defaultColWidth="15.77734375" defaultRowHeight="15.75" x14ac:dyDescent="0.5"/>
  <cols>
    <col min="1" max="1" width="4.77734375" style="116" customWidth="1"/>
    <col min="2" max="2" width="1.77734375" style="14" customWidth="1"/>
    <col min="3" max="3" width="5.77734375" style="14" customWidth="1"/>
    <col min="4" max="4" width="8.77734375" style="14" customWidth="1"/>
    <col min="5" max="5" width="7.88671875" style="14" customWidth="1"/>
    <col min="6" max="6" width="10.77734375" style="58" customWidth="1"/>
    <col min="7" max="7" width="9.77734375" style="14" customWidth="1"/>
    <col min="8" max="8" width="1.77734375" style="14" customWidth="1"/>
    <col min="9" max="9" width="10.77734375" style="58" customWidth="1"/>
    <col min="10" max="10" width="9.77734375" style="14" customWidth="1"/>
    <col min="11" max="11" width="1.77734375" style="116" customWidth="1"/>
    <col min="12" max="12" width="12.5546875" style="116" customWidth="1"/>
    <col min="13" max="13" width="2.109375" style="116" customWidth="1"/>
    <col min="14" max="14" width="9.77734375" style="116" customWidth="1"/>
    <col min="15" max="16384" width="15.77734375" style="116"/>
  </cols>
  <sheetData>
    <row r="2" spans="3:14" x14ac:dyDescent="0.5">
      <c r="C2" s="668" t="s">
        <v>669</v>
      </c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</row>
    <row r="3" spans="3:14" x14ac:dyDescent="0.5">
      <c r="C3" s="668" t="s">
        <v>238</v>
      </c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</row>
    <row r="4" spans="3:14" x14ac:dyDescent="0.5">
      <c r="C4" s="668" t="str">
        <f>Adj!B1</f>
        <v>Butler County Water System, Inc.</v>
      </c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3:14" x14ac:dyDescent="0.5">
      <c r="I5" s="14"/>
    </row>
    <row r="6" spans="3:14" x14ac:dyDescent="0.5">
      <c r="C6" s="682" t="s">
        <v>687</v>
      </c>
      <c r="D6" s="682"/>
      <c r="E6" s="682"/>
      <c r="F6" s="682" t="s">
        <v>670</v>
      </c>
      <c r="G6" s="682"/>
      <c r="I6" s="682" t="s">
        <v>724</v>
      </c>
      <c r="J6" s="682"/>
      <c r="K6" s="682"/>
      <c r="L6" s="682"/>
      <c r="M6" s="575"/>
    </row>
    <row r="7" spans="3:14" x14ac:dyDescent="0.5">
      <c r="C7" s="592" t="s">
        <v>333</v>
      </c>
      <c r="L7" s="683" t="s">
        <v>708</v>
      </c>
      <c r="M7" s="683"/>
      <c r="N7" s="683"/>
    </row>
    <row r="8" spans="3:14" x14ac:dyDescent="0.5">
      <c r="C8" s="592"/>
      <c r="L8" s="210" t="s">
        <v>690</v>
      </c>
      <c r="M8" s="594"/>
      <c r="N8" s="594" t="s">
        <v>691</v>
      </c>
    </row>
    <row r="9" spans="3:14" x14ac:dyDescent="0.5">
      <c r="C9" s="116" t="s">
        <v>51</v>
      </c>
      <c r="D9" s="142">
        <v>2000</v>
      </c>
      <c r="E9" s="116" t="s">
        <v>188</v>
      </c>
      <c r="F9" s="404">
        <f>'Yr 1 Rate Comp'!F11</f>
        <v>20.38</v>
      </c>
      <c r="G9" s="116" t="s">
        <v>241</v>
      </c>
      <c r="I9" s="404">
        <f>'YR 2 Rate Comp'!L11</f>
        <v>27.33</v>
      </c>
      <c r="J9" s="116" t="s">
        <v>241</v>
      </c>
      <c r="L9" s="404">
        <f>I9-F9</f>
        <v>6.9499999999999993</v>
      </c>
      <c r="N9" s="595">
        <f>ROUND(L9/F9,4)</f>
        <v>0.34100000000000003</v>
      </c>
    </row>
    <row r="10" spans="3:14" x14ac:dyDescent="0.5">
      <c r="C10" s="116" t="s">
        <v>52</v>
      </c>
      <c r="D10" s="142">
        <v>4000</v>
      </c>
      <c r="E10" s="116" t="s">
        <v>188</v>
      </c>
      <c r="F10" s="576">
        <f>'Yr 1 Rate Comp'!F12</f>
        <v>5.8999999999999999E-3</v>
      </c>
      <c r="G10" s="116" t="s">
        <v>240</v>
      </c>
      <c r="I10" s="576">
        <f>'YR 2 Rate Comp'!L12</f>
        <v>7.9100000000000004E-3</v>
      </c>
      <c r="J10" s="116" t="s">
        <v>240</v>
      </c>
      <c r="L10" s="576">
        <f>I10-F10</f>
        <v>2.0100000000000005E-3</v>
      </c>
      <c r="N10" s="595">
        <f t="shared" ref="N10:N13" si="0">ROUND(L10/F10,4)</f>
        <v>0.3407</v>
      </c>
    </row>
    <row r="11" spans="3:14" x14ac:dyDescent="0.5">
      <c r="C11" s="116" t="s">
        <v>52</v>
      </c>
      <c r="D11" s="142">
        <v>44000</v>
      </c>
      <c r="E11" s="116" t="s">
        <v>188</v>
      </c>
      <c r="F11" s="576">
        <f>'Yr 1 Rate Comp'!F13</f>
        <v>5.2399999999999999E-3</v>
      </c>
      <c r="G11" s="116" t="s">
        <v>240</v>
      </c>
      <c r="I11" s="576">
        <f>'YR 2 Rate Comp'!L13</f>
        <v>7.0200000000000002E-3</v>
      </c>
      <c r="J11" s="116" t="s">
        <v>240</v>
      </c>
      <c r="L11" s="576">
        <f>I11-F11</f>
        <v>1.7800000000000003E-3</v>
      </c>
      <c r="N11" s="595">
        <f t="shared" si="0"/>
        <v>0.3397</v>
      </c>
    </row>
    <row r="12" spans="3:14" x14ac:dyDescent="0.5">
      <c r="C12" s="116" t="s">
        <v>52</v>
      </c>
      <c r="D12" s="142">
        <v>50000</v>
      </c>
      <c r="E12" s="116" t="s">
        <v>188</v>
      </c>
      <c r="F12" s="576">
        <f>'Yr 1 Rate Comp'!F14</f>
        <v>4.5100000000000001E-3</v>
      </c>
      <c r="G12" s="116" t="s">
        <v>240</v>
      </c>
      <c r="I12" s="576">
        <f>'YR 2 Rate Comp'!L14</f>
        <v>6.0400000000000002E-3</v>
      </c>
      <c r="J12" s="116" t="s">
        <v>240</v>
      </c>
      <c r="L12" s="576">
        <f>I12-F12</f>
        <v>1.5300000000000001E-3</v>
      </c>
      <c r="N12" s="595">
        <f t="shared" si="0"/>
        <v>0.3392</v>
      </c>
    </row>
    <row r="13" spans="3:14" x14ac:dyDescent="0.5">
      <c r="C13" s="116" t="s">
        <v>114</v>
      </c>
      <c r="D13" s="142">
        <f>SUM(D9:D12)</f>
        <v>100000</v>
      </c>
      <c r="E13" s="116" t="s">
        <v>188</v>
      </c>
      <c r="F13" s="576">
        <f>'Yr 1 Rate Comp'!F15</f>
        <v>3.7599999999999999E-3</v>
      </c>
      <c r="G13" s="116" t="s">
        <v>240</v>
      </c>
      <c r="I13" s="576">
        <f>'YR 2 Rate Comp'!L15</f>
        <v>5.0300000000000006E-3</v>
      </c>
      <c r="J13" s="116" t="s">
        <v>240</v>
      </c>
      <c r="L13" s="576">
        <f>I13-F13</f>
        <v>1.2700000000000007E-3</v>
      </c>
      <c r="N13" s="595">
        <f t="shared" si="0"/>
        <v>0.33779999999999999</v>
      </c>
    </row>
    <row r="14" spans="3:14" x14ac:dyDescent="0.5">
      <c r="C14" s="116"/>
      <c r="D14" s="142"/>
      <c r="E14" s="116"/>
      <c r="F14" s="405"/>
      <c r="G14" s="116"/>
      <c r="I14" s="405"/>
      <c r="J14" s="116"/>
      <c r="L14" s="405"/>
    </row>
    <row r="15" spans="3:14" x14ac:dyDescent="0.5">
      <c r="C15" s="592" t="s">
        <v>334</v>
      </c>
      <c r="D15" s="142"/>
      <c r="E15" s="116"/>
      <c r="F15" s="116"/>
      <c r="G15" s="116"/>
      <c r="I15" s="116"/>
      <c r="J15" s="116"/>
    </row>
    <row r="16" spans="3:14" x14ac:dyDescent="0.5">
      <c r="C16" s="116" t="s">
        <v>51</v>
      </c>
      <c r="D16" s="142">
        <v>5000</v>
      </c>
      <c r="E16" s="116" t="s">
        <v>188</v>
      </c>
      <c r="F16" s="404">
        <f>'Yr 1 Rate Comp'!F18</f>
        <v>38.68</v>
      </c>
      <c r="G16" s="116" t="s">
        <v>241</v>
      </c>
      <c r="I16" s="404">
        <f>'YR 2 Rate Comp'!L18</f>
        <v>51.89</v>
      </c>
      <c r="J16" s="116" t="s">
        <v>241</v>
      </c>
      <c r="L16" s="404">
        <f>I16-F16</f>
        <v>13.21</v>
      </c>
      <c r="N16" s="595">
        <f>ROUND(L16/F16,4)</f>
        <v>0.34150000000000003</v>
      </c>
    </row>
    <row r="17" spans="3:14" x14ac:dyDescent="0.5">
      <c r="C17" s="116" t="s">
        <v>52</v>
      </c>
      <c r="D17" s="142">
        <v>1000</v>
      </c>
      <c r="E17" s="116" t="s">
        <v>188</v>
      </c>
      <c r="F17" s="576">
        <f>'Yr 1 Rate Comp'!F19</f>
        <v>5.8999999999999999E-3</v>
      </c>
      <c r="G17" s="116" t="s">
        <v>240</v>
      </c>
      <c r="I17" s="576">
        <f>'YR 2 Rate Comp'!L19</f>
        <v>7.9100000000000004E-3</v>
      </c>
      <c r="J17" s="116" t="s">
        <v>240</v>
      </c>
      <c r="L17" s="576">
        <f>I17-F17</f>
        <v>2.0100000000000005E-3</v>
      </c>
      <c r="N17" s="595">
        <f t="shared" ref="N17:N20" si="1">ROUND(L17/F17,4)</f>
        <v>0.3407</v>
      </c>
    </row>
    <row r="18" spans="3:14" x14ac:dyDescent="0.5">
      <c r="C18" s="116" t="s">
        <v>52</v>
      </c>
      <c r="D18" s="142">
        <v>44000</v>
      </c>
      <c r="E18" s="116" t="s">
        <v>188</v>
      </c>
      <c r="F18" s="576">
        <f>'Yr 1 Rate Comp'!F20</f>
        <v>5.2399999999999999E-3</v>
      </c>
      <c r="G18" s="116" t="s">
        <v>240</v>
      </c>
      <c r="I18" s="576">
        <f>'YR 2 Rate Comp'!L20</f>
        <v>7.0200000000000002E-3</v>
      </c>
      <c r="J18" s="116" t="s">
        <v>240</v>
      </c>
      <c r="L18" s="576">
        <f>I18-F18</f>
        <v>1.7800000000000003E-3</v>
      </c>
      <c r="N18" s="595">
        <f t="shared" si="1"/>
        <v>0.3397</v>
      </c>
    </row>
    <row r="19" spans="3:14" x14ac:dyDescent="0.5">
      <c r="C19" s="116" t="s">
        <v>52</v>
      </c>
      <c r="D19" s="142">
        <v>50000</v>
      </c>
      <c r="E19" s="116" t="s">
        <v>188</v>
      </c>
      <c r="F19" s="576">
        <f>'Yr 1 Rate Comp'!F21</f>
        <v>4.5100000000000001E-3</v>
      </c>
      <c r="G19" s="116" t="s">
        <v>240</v>
      </c>
      <c r="I19" s="576">
        <f>'YR 2 Rate Comp'!L21</f>
        <v>6.0400000000000002E-3</v>
      </c>
      <c r="J19" s="116" t="s">
        <v>240</v>
      </c>
      <c r="L19" s="576">
        <f>I19-F19</f>
        <v>1.5300000000000001E-3</v>
      </c>
      <c r="N19" s="595">
        <f t="shared" si="1"/>
        <v>0.3392</v>
      </c>
    </row>
    <row r="20" spans="3:14" x14ac:dyDescent="0.5">
      <c r="C20" s="116" t="s">
        <v>114</v>
      </c>
      <c r="D20" s="142">
        <f>SUM(D16:D19)</f>
        <v>100000</v>
      </c>
      <c r="E20" s="116" t="s">
        <v>188</v>
      </c>
      <c r="F20" s="576">
        <f>'Yr 1 Rate Comp'!F22</f>
        <v>3.7599999999999999E-3</v>
      </c>
      <c r="G20" s="116" t="s">
        <v>240</v>
      </c>
      <c r="I20" s="576">
        <f>'YR 2 Rate Comp'!L22</f>
        <v>5.0300000000000006E-3</v>
      </c>
      <c r="J20" s="116" t="s">
        <v>240</v>
      </c>
      <c r="L20" s="576">
        <f>I20-F20</f>
        <v>1.2700000000000007E-3</v>
      </c>
      <c r="N20" s="595">
        <f t="shared" si="1"/>
        <v>0.33779999999999999</v>
      </c>
    </row>
    <row r="21" spans="3:14" x14ac:dyDescent="0.5">
      <c r="C21" s="116"/>
      <c r="D21" s="142"/>
      <c r="E21" s="116"/>
      <c r="F21" s="405"/>
      <c r="G21" s="116"/>
      <c r="I21" s="405"/>
      <c r="J21" s="116"/>
      <c r="L21" s="405"/>
    </row>
    <row r="22" spans="3:14" x14ac:dyDescent="0.5">
      <c r="C22" s="592" t="s">
        <v>335</v>
      </c>
      <c r="D22" s="142"/>
      <c r="E22" s="116"/>
      <c r="F22" s="405"/>
      <c r="G22" s="116"/>
      <c r="I22" s="405"/>
      <c r="J22" s="116"/>
      <c r="L22" s="405"/>
    </row>
    <row r="23" spans="3:14" x14ac:dyDescent="0.5">
      <c r="C23" s="116" t="s">
        <v>51</v>
      </c>
      <c r="D23" s="142">
        <v>10000</v>
      </c>
      <c r="E23" s="116" t="s">
        <v>188</v>
      </c>
      <c r="F23" s="404">
        <f>'Yr 1 Rate Comp'!F25</f>
        <v>69.11</v>
      </c>
      <c r="G23" s="116" t="s">
        <v>241</v>
      </c>
      <c r="I23" s="404">
        <f>'YR 2 Rate Comp'!L25</f>
        <v>92.71</v>
      </c>
      <c r="J23" s="116" t="s">
        <v>241</v>
      </c>
      <c r="L23" s="404">
        <f>I23-F23</f>
        <v>23.599999999999994</v>
      </c>
      <c r="N23" s="595">
        <f>ROUND(L23/F23,4)</f>
        <v>0.34150000000000003</v>
      </c>
    </row>
    <row r="24" spans="3:14" x14ac:dyDescent="0.5">
      <c r="C24" s="116" t="s">
        <v>52</v>
      </c>
      <c r="D24" s="142">
        <v>40000</v>
      </c>
      <c r="E24" s="116" t="s">
        <v>188</v>
      </c>
      <c r="F24" s="576">
        <f>'Yr 1 Rate Comp'!F26</f>
        <v>5.2399999999999999E-3</v>
      </c>
      <c r="G24" s="116" t="s">
        <v>240</v>
      </c>
      <c r="I24" s="576">
        <f>'YR 2 Rate Comp'!L26</f>
        <v>7.0200000000000002E-3</v>
      </c>
      <c r="J24" s="116" t="s">
        <v>240</v>
      </c>
      <c r="L24" s="576">
        <f>I24-F24</f>
        <v>1.7800000000000003E-3</v>
      </c>
      <c r="N24" s="595">
        <f t="shared" ref="N24:N26" si="2">ROUND(L24/F24,4)</f>
        <v>0.3397</v>
      </c>
    </row>
    <row r="25" spans="3:14" x14ac:dyDescent="0.5">
      <c r="C25" s="116" t="s">
        <v>52</v>
      </c>
      <c r="D25" s="142">
        <v>50000</v>
      </c>
      <c r="E25" s="116" t="s">
        <v>188</v>
      </c>
      <c r="F25" s="576">
        <f>'Yr 1 Rate Comp'!F27</f>
        <v>4.5100000000000001E-3</v>
      </c>
      <c r="G25" s="116" t="s">
        <v>240</v>
      </c>
      <c r="I25" s="576">
        <f>'YR 2 Rate Comp'!L27</f>
        <v>6.0400000000000002E-3</v>
      </c>
      <c r="J25" s="116" t="s">
        <v>240</v>
      </c>
      <c r="L25" s="576">
        <f>I25-F25</f>
        <v>1.5300000000000001E-3</v>
      </c>
      <c r="N25" s="595">
        <f t="shared" si="2"/>
        <v>0.3392</v>
      </c>
    </row>
    <row r="26" spans="3:14" x14ac:dyDescent="0.5">
      <c r="C26" s="116" t="s">
        <v>114</v>
      </c>
      <c r="D26" s="142">
        <f>SUM(D22:D25)</f>
        <v>100000</v>
      </c>
      <c r="E26" s="116" t="s">
        <v>188</v>
      </c>
      <c r="F26" s="576">
        <f>'Yr 1 Rate Comp'!F28</f>
        <v>3.7599999999999999E-3</v>
      </c>
      <c r="G26" s="116" t="s">
        <v>240</v>
      </c>
      <c r="I26" s="576">
        <f>'YR 2 Rate Comp'!L28</f>
        <v>5.0300000000000006E-3</v>
      </c>
      <c r="J26" s="116" t="s">
        <v>240</v>
      </c>
      <c r="L26" s="576">
        <f>I26-F26</f>
        <v>1.2700000000000007E-3</v>
      </c>
      <c r="N26" s="595">
        <f t="shared" si="2"/>
        <v>0.33779999999999999</v>
      </c>
    </row>
    <row r="27" spans="3:14" x14ac:dyDescent="0.5">
      <c r="C27" s="116"/>
      <c r="D27" s="142"/>
      <c r="E27" s="116"/>
      <c r="F27" s="405"/>
      <c r="G27" s="116"/>
      <c r="I27" s="405"/>
      <c r="J27" s="116"/>
      <c r="L27" s="405"/>
    </row>
    <row r="28" spans="3:14" x14ac:dyDescent="0.5">
      <c r="C28" s="592" t="s">
        <v>336</v>
      </c>
      <c r="D28" s="142"/>
      <c r="E28" s="116"/>
      <c r="F28" s="116"/>
      <c r="G28" s="116"/>
      <c r="I28" s="116"/>
      <c r="J28" s="116"/>
    </row>
    <row r="29" spans="3:14" x14ac:dyDescent="0.5">
      <c r="C29" s="116" t="s">
        <v>51</v>
      </c>
      <c r="D29" s="142">
        <v>16000</v>
      </c>
      <c r="E29" s="116" t="s">
        <v>188</v>
      </c>
      <c r="F29" s="404">
        <f>'Yr 1 Rate Comp'!F31</f>
        <v>101.44</v>
      </c>
      <c r="G29" s="116" t="s">
        <v>241</v>
      </c>
      <c r="I29" s="404">
        <f>'YR 2 Rate Comp'!L31</f>
        <v>136.09</v>
      </c>
      <c r="J29" s="116" t="s">
        <v>241</v>
      </c>
      <c r="L29" s="404">
        <f>I29-F29</f>
        <v>34.650000000000006</v>
      </c>
      <c r="N29" s="595">
        <f>ROUND(L29/F29,4)</f>
        <v>0.34160000000000001</v>
      </c>
    </row>
    <row r="30" spans="3:14" x14ac:dyDescent="0.5">
      <c r="C30" s="116" t="s">
        <v>52</v>
      </c>
      <c r="D30" s="142">
        <v>34000</v>
      </c>
      <c r="E30" s="116" t="s">
        <v>188</v>
      </c>
      <c r="F30" s="576">
        <f>'Yr 1 Rate Comp'!F32</f>
        <v>5.2399999999999999E-3</v>
      </c>
      <c r="G30" s="116" t="s">
        <v>240</v>
      </c>
      <c r="I30" s="576">
        <f>'YR 2 Rate Comp'!L32</f>
        <v>7.0200000000000002E-3</v>
      </c>
      <c r="J30" s="116" t="s">
        <v>240</v>
      </c>
      <c r="L30" s="576">
        <f>I30-F30</f>
        <v>1.7800000000000003E-3</v>
      </c>
      <c r="N30" s="595">
        <f t="shared" ref="N30:N32" si="3">ROUND(L30/F30,4)</f>
        <v>0.3397</v>
      </c>
    </row>
    <row r="31" spans="3:14" x14ac:dyDescent="0.5">
      <c r="C31" s="116" t="s">
        <v>52</v>
      </c>
      <c r="D31" s="142">
        <v>50000</v>
      </c>
      <c r="E31" s="116" t="s">
        <v>188</v>
      </c>
      <c r="F31" s="576">
        <f>'Yr 1 Rate Comp'!F33</f>
        <v>4.5100000000000001E-3</v>
      </c>
      <c r="G31" s="116" t="s">
        <v>240</v>
      </c>
      <c r="I31" s="576">
        <f>'YR 2 Rate Comp'!L33</f>
        <v>6.0400000000000002E-3</v>
      </c>
      <c r="J31" s="116" t="s">
        <v>240</v>
      </c>
      <c r="L31" s="576">
        <f>I31-F31</f>
        <v>1.5300000000000001E-3</v>
      </c>
      <c r="N31" s="595">
        <f t="shared" si="3"/>
        <v>0.3392</v>
      </c>
    </row>
    <row r="32" spans="3:14" x14ac:dyDescent="0.5">
      <c r="C32" s="116" t="s">
        <v>114</v>
      </c>
      <c r="D32" s="142">
        <f>SUM(D28:D31)</f>
        <v>100000</v>
      </c>
      <c r="E32" s="116" t="s">
        <v>188</v>
      </c>
      <c r="F32" s="576">
        <f>'Yr 1 Rate Comp'!F34</f>
        <v>3.7599999999999999E-3</v>
      </c>
      <c r="G32" s="116" t="s">
        <v>240</v>
      </c>
      <c r="I32" s="576">
        <f>'YR 2 Rate Comp'!L34</f>
        <v>5.0300000000000006E-3</v>
      </c>
      <c r="J32" s="116" t="s">
        <v>240</v>
      </c>
      <c r="L32" s="576">
        <f>I32-F32</f>
        <v>1.2700000000000007E-3</v>
      </c>
      <c r="N32" s="595">
        <f t="shared" si="3"/>
        <v>0.33779999999999999</v>
      </c>
    </row>
    <row r="33" spans="3:14" x14ac:dyDescent="0.5">
      <c r="C33" s="116"/>
      <c r="D33" s="142"/>
      <c r="E33" s="116"/>
      <c r="F33" s="576"/>
      <c r="G33" s="116"/>
      <c r="I33" s="405"/>
      <c r="J33" s="116"/>
      <c r="L33" s="576"/>
    </row>
    <row r="34" spans="3:14" x14ac:dyDescent="0.5">
      <c r="C34" s="592" t="s">
        <v>337</v>
      </c>
      <c r="D34" s="142"/>
      <c r="E34" s="116"/>
      <c r="F34" s="576"/>
      <c r="G34" s="116"/>
      <c r="I34" s="116"/>
      <c r="J34" s="116"/>
      <c r="L34" s="576"/>
    </row>
    <row r="35" spans="3:14" x14ac:dyDescent="0.5">
      <c r="C35" s="116" t="s">
        <v>51</v>
      </c>
      <c r="D35" s="142">
        <v>25000</v>
      </c>
      <c r="E35" s="116" t="s">
        <v>188</v>
      </c>
      <c r="F35" s="404">
        <f>'Yr 1 Rate Comp'!F37</f>
        <v>164.67</v>
      </c>
      <c r="G35" s="116" t="s">
        <v>241</v>
      </c>
      <c r="I35" s="404">
        <f>'YR 2 Rate Comp'!L37</f>
        <v>220.93</v>
      </c>
      <c r="J35" s="116" t="s">
        <v>241</v>
      </c>
      <c r="L35" s="404">
        <f>I35-F35</f>
        <v>56.260000000000019</v>
      </c>
      <c r="N35" s="595">
        <f>ROUND(L35/F35,4)</f>
        <v>0.3417</v>
      </c>
    </row>
    <row r="36" spans="3:14" x14ac:dyDescent="0.5">
      <c r="C36" s="116" t="s">
        <v>52</v>
      </c>
      <c r="D36" s="142">
        <v>25000</v>
      </c>
      <c r="E36" s="116" t="s">
        <v>188</v>
      </c>
      <c r="F36" s="576">
        <f>'Yr 1 Rate Comp'!F38</f>
        <v>5.2399999999999999E-3</v>
      </c>
      <c r="G36" s="116" t="s">
        <v>240</v>
      </c>
      <c r="I36" s="576">
        <f>'YR 2 Rate Comp'!L38</f>
        <v>7.0200000000000002E-3</v>
      </c>
      <c r="J36" s="116" t="s">
        <v>240</v>
      </c>
      <c r="L36" s="576">
        <f>I36-F36</f>
        <v>1.7800000000000003E-3</v>
      </c>
      <c r="N36" s="595">
        <f t="shared" ref="N36:N38" si="4">ROUND(L36/F36,4)</f>
        <v>0.3397</v>
      </c>
    </row>
    <row r="37" spans="3:14" x14ac:dyDescent="0.5">
      <c r="C37" s="116" t="s">
        <v>52</v>
      </c>
      <c r="D37" s="142">
        <v>50000</v>
      </c>
      <c r="E37" s="116" t="s">
        <v>188</v>
      </c>
      <c r="F37" s="576">
        <f>'Yr 1 Rate Comp'!F39</f>
        <v>4.5100000000000001E-3</v>
      </c>
      <c r="G37" s="116" t="s">
        <v>240</v>
      </c>
      <c r="I37" s="576">
        <f>'YR 2 Rate Comp'!L39</f>
        <v>6.0400000000000002E-3</v>
      </c>
      <c r="J37" s="116" t="s">
        <v>240</v>
      </c>
      <c r="L37" s="576">
        <f>I37-F37</f>
        <v>1.5300000000000001E-3</v>
      </c>
      <c r="N37" s="595">
        <f t="shared" si="4"/>
        <v>0.3392</v>
      </c>
    </row>
    <row r="38" spans="3:14" x14ac:dyDescent="0.5">
      <c r="C38" s="116" t="s">
        <v>114</v>
      </c>
      <c r="D38" s="142">
        <f>SUM(D34:D37)</f>
        <v>100000</v>
      </c>
      <c r="E38" s="116" t="s">
        <v>188</v>
      </c>
      <c r="F38" s="576">
        <f>'Yr 1 Rate Comp'!F40</f>
        <v>3.7599999999999999E-3</v>
      </c>
      <c r="G38" s="116" t="s">
        <v>240</v>
      </c>
      <c r="I38" s="576">
        <f>'YR 2 Rate Comp'!L40</f>
        <v>5.0300000000000006E-3</v>
      </c>
      <c r="J38" s="116" t="s">
        <v>240</v>
      </c>
      <c r="L38" s="576">
        <f>I38-F38</f>
        <v>1.2700000000000007E-3</v>
      </c>
      <c r="N38" s="595">
        <f t="shared" si="4"/>
        <v>0.33779999999999999</v>
      </c>
    </row>
    <row r="39" spans="3:14" x14ac:dyDescent="0.5">
      <c r="C39" s="116"/>
      <c r="D39" s="142"/>
      <c r="E39" s="116"/>
      <c r="F39" s="405"/>
      <c r="G39" s="116"/>
      <c r="I39" s="405"/>
      <c r="J39" s="116"/>
      <c r="L39" s="405"/>
    </row>
    <row r="40" spans="3:14" x14ac:dyDescent="0.5">
      <c r="C40" s="592" t="s">
        <v>338</v>
      </c>
      <c r="D40" s="142"/>
      <c r="E40" s="116"/>
      <c r="F40" s="116"/>
      <c r="G40" s="116"/>
      <c r="I40" s="116"/>
      <c r="J40" s="116"/>
    </row>
    <row r="41" spans="3:14" x14ac:dyDescent="0.5">
      <c r="C41" s="116" t="s">
        <v>51</v>
      </c>
      <c r="D41" s="142">
        <v>30000</v>
      </c>
      <c r="E41" s="116" t="s">
        <v>188</v>
      </c>
      <c r="F41" s="404">
        <f>'Yr 1 Rate Comp'!F43</f>
        <v>227.81</v>
      </c>
      <c r="G41" s="116" t="s">
        <v>241</v>
      </c>
      <c r="I41" s="404">
        <f>'YR 2 Rate Comp'!L43</f>
        <v>305.64</v>
      </c>
      <c r="J41" s="116" t="s">
        <v>241</v>
      </c>
      <c r="L41" s="404">
        <f>I41-F41</f>
        <v>77.829999999999984</v>
      </c>
      <c r="N41" s="595">
        <f>ROUND(L41/F41,4)</f>
        <v>0.34160000000000001</v>
      </c>
    </row>
    <row r="42" spans="3:14" x14ac:dyDescent="0.5">
      <c r="C42" s="116" t="s">
        <v>52</v>
      </c>
      <c r="D42" s="142">
        <v>20000</v>
      </c>
      <c r="E42" s="116" t="s">
        <v>188</v>
      </c>
      <c r="F42" s="576">
        <f>'Yr 1 Rate Comp'!F44</f>
        <v>5.2399999999999999E-3</v>
      </c>
      <c r="G42" s="116" t="s">
        <v>240</v>
      </c>
      <c r="I42" s="576">
        <f>'YR 2 Rate Comp'!L44</f>
        <v>7.0200000000000002E-3</v>
      </c>
      <c r="J42" s="116" t="s">
        <v>240</v>
      </c>
      <c r="L42" s="576">
        <f>I42-F42</f>
        <v>1.7800000000000003E-3</v>
      </c>
      <c r="N42" s="595">
        <f t="shared" ref="N42:N44" si="5">ROUND(L42/F42,4)</f>
        <v>0.3397</v>
      </c>
    </row>
    <row r="43" spans="3:14" x14ac:dyDescent="0.5">
      <c r="C43" s="116" t="s">
        <v>52</v>
      </c>
      <c r="D43" s="142">
        <v>50000</v>
      </c>
      <c r="E43" s="116" t="s">
        <v>188</v>
      </c>
      <c r="F43" s="576">
        <f>'Yr 1 Rate Comp'!F45</f>
        <v>4.5100000000000001E-3</v>
      </c>
      <c r="G43" s="116" t="s">
        <v>240</v>
      </c>
      <c r="I43" s="576">
        <f>'YR 2 Rate Comp'!L45</f>
        <v>6.0400000000000002E-3</v>
      </c>
      <c r="J43" s="116" t="s">
        <v>240</v>
      </c>
      <c r="L43" s="576">
        <f>I43-F43</f>
        <v>1.5300000000000001E-3</v>
      </c>
      <c r="N43" s="595">
        <f t="shared" si="5"/>
        <v>0.3392</v>
      </c>
    </row>
    <row r="44" spans="3:14" x14ac:dyDescent="0.5">
      <c r="C44" s="116" t="s">
        <v>114</v>
      </c>
      <c r="D44" s="142">
        <f>SUM(D40:D43)</f>
        <v>100000</v>
      </c>
      <c r="E44" s="116" t="s">
        <v>188</v>
      </c>
      <c r="F44" s="576">
        <f>'Yr 1 Rate Comp'!F46</f>
        <v>3.7599999999999999E-3</v>
      </c>
      <c r="G44" s="116" t="s">
        <v>240</v>
      </c>
      <c r="I44" s="576">
        <f>'YR 2 Rate Comp'!L46</f>
        <v>5.0300000000000006E-3</v>
      </c>
      <c r="J44" s="116" t="s">
        <v>240</v>
      </c>
      <c r="L44" s="576">
        <f>I44-F44</f>
        <v>1.2700000000000007E-3</v>
      </c>
      <c r="N44" s="595">
        <f t="shared" si="5"/>
        <v>0.33779999999999999</v>
      </c>
    </row>
    <row r="45" spans="3:14" x14ac:dyDescent="0.5">
      <c r="C45" s="116"/>
      <c r="D45" s="142"/>
      <c r="E45" s="116"/>
      <c r="F45" s="405"/>
      <c r="G45" s="116"/>
      <c r="I45" s="405"/>
      <c r="J45" s="116"/>
      <c r="L45" s="405"/>
    </row>
    <row r="46" spans="3:14" x14ac:dyDescent="0.5">
      <c r="C46" s="592" t="s">
        <v>339</v>
      </c>
      <c r="D46" s="142"/>
      <c r="E46" s="116"/>
      <c r="F46" s="116"/>
      <c r="G46" s="116"/>
      <c r="I46" s="116"/>
      <c r="J46" s="116"/>
    </row>
    <row r="47" spans="3:14" x14ac:dyDescent="0.5">
      <c r="C47" s="116" t="s">
        <v>51</v>
      </c>
      <c r="D47" s="142">
        <v>60000</v>
      </c>
      <c r="E47" s="116" t="s">
        <v>188</v>
      </c>
      <c r="F47" s="404">
        <f>'Yr 1 Rate Comp'!F49</f>
        <v>397.91</v>
      </c>
      <c r="G47" s="116" t="s">
        <v>241</v>
      </c>
      <c r="I47" s="404">
        <f>'YR 2 Rate Comp'!L49</f>
        <v>533.87</v>
      </c>
      <c r="J47" s="116" t="s">
        <v>241</v>
      </c>
      <c r="L47" s="404">
        <f>I47-F47</f>
        <v>135.95999999999998</v>
      </c>
      <c r="N47" s="595">
        <f>ROUND(L47/F47,4)</f>
        <v>0.3417</v>
      </c>
    </row>
    <row r="48" spans="3:14" x14ac:dyDescent="0.5">
      <c r="C48" s="116" t="s">
        <v>52</v>
      </c>
      <c r="D48" s="142">
        <v>40000</v>
      </c>
      <c r="E48" s="116" t="s">
        <v>188</v>
      </c>
      <c r="F48" s="576">
        <f>'Yr 1 Rate Comp'!F50</f>
        <v>4.5100000000000001E-3</v>
      </c>
      <c r="G48" s="116" t="s">
        <v>240</v>
      </c>
      <c r="I48" s="576">
        <f>'YR 2 Rate Comp'!L50</f>
        <v>6.0400000000000002E-3</v>
      </c>
      <c r="J48" s="116" t="s">
        <v>240</v>
      </c>
      <c r="L48" s="576">
        <f>I48-F48</f>
        <v>1.5300000000000001E-3</v>
      </c>
      <c r="N48" s="595">
        <f t="shared" ref="N48:N49" si="6">ROUND(L48/F48,4)</f>
        <v>0.3392</v>
      </c>
    </row>
    <row r="49" spans="3:14" x14ac:dyDescent="0.5">
      <c r="C49" s="116" t="s">
        <v>114</v>
      </c>
      <c r="D49" s="142">
        <f>SUM(D46:D48)</f>
        <v>100000</v>
      </c>
      <c r="E49" s="116" t="s">
        <v>188</v>
      </c>
      <c r="F49" s="576">
        <f>'Yr 1 Rate Comp'!F51</f>
        <v>3.7599999999999999E-3</v>
      </c>
      <c r="G49" s="116" t="s">
        <v>240</v>
      </c>
      <c r="I49" s="576">
        <f>'YR 2 Rate Comp'!L51</f>
        <v>5.0300000000000006E-3</v>
      </c>
      <c r="J49" s="116" t="s">
        <v>240</v>
      </c>
      <c r="L49" s="576">
        <f>I49-F49</f>
        <v>1.2700000000000007E-3</v>
      </c>
      <c r="N49" s="595">
        <f t="shared" si="6"/>
        <v>0.33779999999999999</v>
      </c>
    </row>
    <row r="50" spans="3:14" x14ac:dyDescent="0.5">
      <c r="C50" s="116"/>
      <c r="D50" s="142"/>
      <c r="E50" s="116"/>
      <c r="F50" s="405"/>
      <c r="G50" s="116"/>
      <c r="I50" s="405"/>
      <c r="J50" s="116"/>
      <c r="L50" s="576"/>
    </row>
    <row r="51" spans="3:14" x14ac:dyDescent="0.5">
      <c r="C51" s="592" t="s">
        <v>340</v>
      </c>
      <c r="D51" s="142"/>
      <c r="E51" s="116"/>
      <c r="F51" s="116"/>
      <c r="G51" s="116"/>
      <c r="I51" s="116"/>
      <c r="J51" s="116"/>
    </row>
    <row r="52" spans="3:14" x14ac:dyDescent="0.5">
      <c r="C52" s="116" t="s">
        <v>51</v>
      </c>
      <c r="D52" s="142">
        <v>80000</v>
      </c>
      <c r="E52" s="116" t="s">
        <v>188</v>
      </c>
      <c r="F52" s="404">
        <f>'Yr 1 Rate Comp'!F54</f>
        <v>504.71</v>
      </c>
      <c r="G52" s="116" t="s">
        <v>241</v>
      </c>
      <c r="I52" s="404">
        <f>'YR 2 Rate Comp'!L54</f>
        <v>677.16</v>
      </c>
      <c r="J52" s="116" t="s">
        <v>241</v>
      </c>
      <c r="L52" s="404">
        <f>I52-F52</f>
        <v>172.45</v>
      </c>
      <c r="N52" s="595">
        <f>ROUND(L52/F52,4)</f>
        <v>0.3417</v>
      </c>
    </row>
    <row r="53" spans="3:14" x14ac:dyDescent="0.5">
      <c r="C53" s="116" t="s">
        <v>52</v>
      </c>
      <c r="D53" s="142">
        <v>20000</v>
      </c>
      <c r="E53" s="116" t="s">
        <v>188</v>
      </c>
      <c r="F53" s="576">
        <f>'Yr 1 Rate Comp'!F55</f>
        <v>4.5100000000000001E-3</v>
      </c>
      <c r="G53" s="116" t="s">
        <v>240</v>
      </c>
      <c r="I53" s="576">
        <f>'YR 2 Rate Comp'!L55</f>
        <v>6.0400000000000002E-3</v>
      </c>
      <c r="J53" s="116" t="s">
        <v>240</v>
      </c>
      <c r="L53" s="576">
        <f>I53-F53</f>
        <v>1.5300000000000001E-3</v>
      </c>
      <c r="N53" s="595">
        <f t="shared" ref="N53:N54" si="7">ROUND(L53/F53,4)</f>
        <v>0.3392</v>
      </c>
    </row>
    <row r="54" spans="3:14" x14ac:dyDescent="0.5">
      <c r="C54" s="116" t="s">
        <v>114</v>
      </c>
      <c r="D54" s="142">
        <f>SUM(D51:D53)</f>
        <v>100000</v>
      </c>
      <c r="E54" s="116" t="s">
        <v>188</v>
      </c>
      <c r="F54" s="576">
        <f>'Yr 1 Rate Comp'!F56</f>
        <v>3.7599999999999999E-3</v>
      </c>
      <c r="G54" s="116" t="s">
        <v>240</v>
      </c>
      <c r="I54" s="576">
        <f>'YR 2 Rate Comp'!L56</f>
        <v>5.0300000000000006E-3</v>
      </c>
      <c r="J54" s="116" t="s">
        <v>240</v>
      </c>
      <c r="L54" s="576">
        <f>I54-F54</f>
        <v>1.2700000000000007E-3</v>
      </c>
      <c r="N54" s="595">
        <f t="shared" si="7"/>
        <v>0.33779999999999999</v>
      </c>
    </row>
    <row r="55" spans="3:14" x14ac:dyDescent="0.5">
      <c r="C55" s="116"/>
      <c r="D55" s="142"/>
      <c r="E55" s="116"/>
      <c r="F55" s="405"/>
      <c r="G55" s="116"/>
      <c r="I55" s="405"/>
      <c r="J55" s="116"/>
      <c r="L55" s="576"/>
    </row>
    <row r="56" spans="3:14" x14ac:dyDescent="0.5">
      <c r="C56" s="592" t="s">
        <v>460</v>
      </c>
      <c r="D56" s="142"/>
      <c r="E56" s="116"/>
      <c r="F56" s="405"/>
      <c r="G56" s="116"/>
      <c r="I56" s="116"/>
      <c r="J56" s="116"/>
    </row>
    <row r="57" spans="3:14" x14ac:dyDescent="0.5">
      <c r="C57" s="588" t="s">
        <v>716</v>
      </c>
      <c r="D57" s="142"/>
      <c r="E57" s="116"/>
      <c r="F57" s="404">
        <f>'Yr 1 Rate Comp'!F59</f>
        <v>17.53</v>
      </c>
      <c r="G57" s="116"/>
      <c r="I57" s="404">
        <f>'YR 2 Rate Comp'!L59</f>
        <v>23.525000000000002</v>
      </c>
      <c r="J57" s="116"/>
      <c r="L57" s="404">
        <f t="shared" ref="L57:L64" si="8">I57-F57</f>
        <v>5.995000000000001</v>
      </c>
      <c r="N57" s="595">
        <f t="shared" ref="N57:N64" si="9">ROUND(L57/F57,4)</f>
        <v>0.34200000000000003</v>
      </c>
    </row>
    <row r="58" spans="3:14" x14ac:dyDescent="0.5">
      <c r="C58" s="588" t="s">
        <v>717</v>
      </c>
      <c r="D58" s="142"/>
      <c r="E58" s="116"/>
      <c r="F58" s="404">
        <f>'Yr 1 Rate Comp'!F60</f>
        <v>26.2</v>
      </c>
      <c r="G58" s="116"/>
      <c r="I58" s="404">
        <f>'YR 2 Rate Comp'!L60</f>
        <v>35.155999999999999</v>
      </c>
      <c r="J58" s="116"/>
      <c r="L58" s="404">
        <f t="shared" si="8"/>
        <v>8.9559999999999995</v>
      </c>
      <c r="N58" s="595">
        <f t="shared" si="9"/>
        <v>0.34179999999999999</v>
      </c>
    </row>
    <row r="59" spans="3:14" x14ac:dyDescent="0.5">
      <c r="C59" s="588" t="s">
        <v>357</v>
      </c>
      <c r="D59" s="142"/>
      <c r="E59" s="116"/>
      <c r="F59" s="404">
        <f>'Yr 1 Rate Comp'!F61</f>
        <v>68.05</v>
      </c>
      <c r="G59" s="116"/>
      <c r="I59" s="404">
        <f>'YR 2 Rate Comp'!L61</f>
        <v>91.324000000000012</v>
      </c>
      <c r="J59" s="116"/>
      <c r="L59" s="404">
        <f t="shared" si="8"/>
        <v>23.274000000000015</v>
      </c>
      <c r="N59" s="595">
        <f t="shared" si="9"/>
        <v>0.34200000000000003</v>
      </c>
    </row>
    <row r="60" spans="3:14" x14ac:dyDescent="0.5">
      <c r="C60" s="588" t="s">
        <v>345</v>
      </c>
      <c r="D60" s="142"/>
      <c r="E60" s="116"/>
      <c r="F60" s="404">
        <f>'Yr 1 Rate Comp'!F62</f>
        <v>147.91999999999999</v>
      </c>
      <c r="G60" s="116"/>
      <c r="I60" s="404">
        <f>'YR 2 Rate Comp'!L62</f>
        <v>198.511</v>
      </c>
      <c r="J60" s="116"/>
      <c r="L60" s="404">
        <f t="shared" si="8"/>
        <v>50.591000000000008</v>
      </c>
      <c r="N60" s="595">
        <f t="shared" si="9"/>
        <v>0.34200000000000003</v>
      </c>
    </row>
    <row r="61" spans="3:14" x14ac:dyDescent="0.5">
      <c r="C61" s="588" t="s">
        <v>346</v>
      </c>
      <c r="D61" s="142"/>
      <c r="E61" s="116"/>
      <c r="F61" s="404">
        <f>'Yr 1 Rate Comp'!F63</f>
        <v>340.77</v>
      </c>
      <c r="G61" s="116"/>
      <c r="I61" s="404">
        <f>'YR 2 Rate Comp'!L63</f>
        <v>457.30899999999997</v>
      </c>
      <c r="J61" s="116"/>
      <c r="L61" s="404">
        <f t="shared" si="8"/>
        <v>116.53899999999999</v>
      </c>
      <c r="N61" s="595">
        <f t="shared" si="9"/>
        <v>0.34200000000000003</v>
      </c>
    </row>
    <row r="62" spans="3:14" x14ac:dyDescent="0.5">
      <c r="C62" s="588" t="s">
        <v>710</v>
      </c>
      <c r="D62" s="142"/>
      <c r="E62" s="116"/>
      <c r="F62" s="404">
        <f>'Yr 1 Rate Comp'!F64</f>
        <v>658.17</v>
      </c>
      <c r="G62" s="116"/>
      <c r="I62" s="404">
        <f>'YR 2 Rate Comp'!L64</f>
        <v>883.2589999999999</v>
      </c>
      <c r="J62" s="116"/>
      <c r="L62" s="404">
        <f t="shared" si="8"/>
        <v>225.08899999999994</v>
      </c>
      <c r="N62" s="595">
        <f t="shared" si="9"/>
        <v>0.34200000000000003</v>
      </c>
    </row>
    <row r="63" spans="3:14" x14ac:dyDescent="0.5">
      <c r="C63" s="588" t="s">
        <v>718</v>
      </c>
      <c r="D63" s="142"/>
      <c r="E63" s="116"/>
      <c r="F63" s="404">
        <f>'Yr 1 Rate Comp'!F65</f>
        <v>1139.7</v>
      </c>
      <c r="G63" s="116"/>
      <c r="I63" s="404">
        <f>'YR 2 Rate Comp'!L65</f>
        <v>1529.4670000000001</v>
      </c>
      <c r="J63" s="116"/>
      <c r="L63" s="404">
        <f t="shared" si="8"/>
        <v>389.76700000000005</v>
      </c>
      <c r="N63" s="595">
        <f t="shared" si="9"/>
        <v>0.34200000000000003</v>
      </c>
    </row>
    <row r="64" spans="3:14" x14ac:dyDescent="0.5">
      <c r="C64" s="588" t="s">
        <v>719</v>
      </c>
      <c r="F64" s="404">
        <f>'Yr 1 Rate Comp'!F66</f>
        <v>1799.31</v>
      </c>
      <c r="G64" s="116"/>
      <c r="I64" s="404">
        <f>'YR 2 Rate Comp'!L66</f>
        <v>2414.6530000000002</v>
      </c>
      <c r="J64" s="116"/>
      <c r="L64" s="404">
        <f t="shared" si="8"/>
        <v>615.3430000000003</v>
      </c>
      <c r="N64" s="595">
        <f t="shared" si="9"/>
        <v>0.34200000000000003</v>
      </c>
    </row>
  </sheetData>
  <mergeCells count="7">
    <mergeCell ref="L7:N7"/>
    <mergeCell ref="C2:N2"/>
    <mergeCell ref="C3:N3"/>
    <mergeCell ref="C4:N4"/>
    <mergeCell ref="I6:L6"/>
    <mergeCell ref="C6:E6"/>
    <mergeCell ref="F6:G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E2AE-DE63-47D6-8725-3978D35CB1AF}">
  <dimension ref="A1:AA82"/>
  <sheetViews>
    <sheetView topLeftCell="H1" workbookViewId="0">
      <selection activeCell="L2" sqref="L2:Z2"/>
    </sheetView>
  </sheetViews>
  <sheetFormatPr defaultRowHeight="15" x14ac:dyDescent="0.4"/>
  <cols>
    <col min="3" max="3" width="4.7773437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8.88671875" style="486"/>
    <col min="12" max="12" width="11.44140625" style="197" bestFit="1" customWidth="1"/>
    <col min="13" max="13" width="10.44140625" style="197" bestFit="1" customWidth="1"/>
    <col min="14" max="14" width="11.88671875" style="197" bestFit="1" customWidth="1"/>
    <col min="15" max="15" width="10.44140625" style="197" bestFit="1" customWidth="1"/>
    <col min="16" max="17" width="11.44140625" style="197" bestFit="1" customWidth="1"/>
    <col min="20" max="20" width="11.44140625" style="197" bestFit="1" customWidth="1"/>
    <col min="21" max="23" width="10.44140625" style="197" bestFit="1" customWidth="1"/>
    <col min="24" max="25" width="11.44140625" style="197" bestFit="1" customWidth="1"/>
  </cols>
  <sheetData>
    <row r="1" spans="1:27" ht="20.65" x14ac:dyDescent="0.6">
      <c r="A1" s="685" t="s">
        <v>689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</row>
    <row r="2" spans="1:27" x14ac:dyDescent="0.4">
      <c r="C2" s="512"/>
      <c r="I2" s="513"/>
      <c r="L2" s="686" t="s">
        <v>660</v>
      </c>
      <c r="M2" s="686"/>
      <c r="N2" s="686"/>
      <c r="O2" s="686"/>
      <c r="P2" s="686"/>
      <c r="Q2" s="686"/>
      <c r="R2" s="686"/>
      <c r="T2" s="686" t="s">
        <v>700</v>
      </c>
      <c r="U2" s="686"/>
      <c r="V2" s="686"/>
      <c r="W2" s="686"/>
      <c r="X2" s="686"/>
      <c r="Y2" s="686"/>
      <c r="Z2" s="686"/>
    </row>
    <row r="3" spans="1:27" ht="15.75" x14ac:dyDescent="0.5">
      <c r="A3" s="116" t="s">
        <v>333</v>
      </c>
      <c r="B3" s="142"/>
      <c r="D3" s="684" t="s">
        <v>660</v>
      </c>
      <c r="E3" s="684"/>
      <c r="F3" s="14"/>
      <c r="G3" s="657" t="s">
        <v>696</v>
      </c>
      <c r="H3" s="657"/>
      <c r="I3" s="657"/>
      <c r="J3" s="403"/>
      <c r="K3" s="116"/>
      <c r="M3" s="142">
        <v>2000</v>
      </c>
      <c r="N3" s="142">
        <v>4000</v>
      </c>
      <c r="O3" s="142">
        <v>44000</v>
      </c>
      <c r="P3" s="142">
        <v>50000</v>
      </c>
      <c r="Q3" s="142">
        <f>SUM(M3:P3)</f>
        <v>100000</v>
      </c>
      <c r="U3" s="142">
        <v>2000</v>
      </c>
      <c r="V3" s="142">
        <v>4000</v>
      </c>
      <c r="W3" s="142">
        <v>44000</v>
      </c>
      <c r="X3" s="142">
        <v>50000</v>
      </c>
      <c r="Y3" s="142">
        <f>SUM(U3:X3)</f>
        <v>100000</v>
      </c>
    </row>
    <row r="4" spans="1:27" ht="15.75" x14ac:dyDescent="0.5">
      <c r="A4" s="116" t="s">
        <v>51</v>
      </c>
      <c r="B4" s="142">
        <v>2000</v>
      </c>
      <c r="C4" s="116" t="s">
        <v>188</v>
      </c>
      <c r="D4" s="404">
        <f>'Table C'!F9</f>
        <v>20.38</v>
      </c>
      <c r="E4" s="116" t="s">
        <v>241</v>
      </c>
      <c r="F4" s="14"/>
      <c r="G4" s="404">
        <f>'Table C'!I9</f>
        <v>23.83</v>
      </c>
      <c r="H4" s="402" t="s">
        <v>241</v>
      </c>
      <c r="I4" s="116"/>
      <c r="K4" s="567"/>
      <c r="M4" s="138">
        <f>D4</f>
        <v>20.38</v>
      </c>
      <c r="N4" s="271">
        <f>D5</f>
        <v>5.8999999999999999E-3</v>
      </c>
      <c r="O4" s="271">
        <f>D6</f>
        <v>5.2399999999999999E-3</v>
      </c>
      <c r="P4" s="271">
        <f>D7</f>
        <v>4.5100000000000001E-3</v>
      </c>
      <c r="Q4" s="271">
        <f>D8</f>
        <v>3.7599999999999999E-3</v>
      </c>
      <c r="U4" s="138">
        <f>G4</f>
        <v>23.83</v>
      </c>
      <c r="V4" s="271">
        <f>G5</f>
        <v>6.8900000000000003E-3</v>
      </c>
      <c r="W4" s="271">
        <f>G6</f>
        <v>6.1200000000000004E-3</v>
      </c>
      <c r="X4" s="271">
        <f>G7</f>
        <v>5.2700000000000004E-3</v>
      </c>
      <c r="Y4" s="271">
        <f>G8</f>
        <v>4.3900000000000007E-3</v>
      </c>
    </row>
    <row r="5" spans="1:27" ht="15.75" x14ac:dyDescent="0.5">
      <c r="A5" s="116" t="s">
        <v>52</v>
      </c>
      <c r="B5" s="142">
        <v>4000</v>
      </c>
      <c r="C5" s="116" t="s">
        <v>188</v>
      </c>
      <c r="D5" s="405">
        <f>'Table C'!F10</f>
        <v>5.8999999999999999E-3</v>
      </c>
      <c r="E5" s="116" t="s">
        <v>240</v>
      </c>
      <c r="F5" s="14"/>
      <c r="G5" s="405">
        <f>'Table C'!I10</f>
        <v>6.8900000000000003E-3</v>
      </c>
      <c r="H5" s="402" t="s">
        <v>240</v>
      </c>
      <c r="I5" s="116"/>
      <c r="L5" s="197">
        <v>2000</v>
      </c>
      <c r="M5" s="197">
        <v>2000</v>
      </c>
      <c r="N5" s="197">
        <f>L5-M5</f>
        <v>0</v>
      </c>
      <c r="T5" s="197">
        <v>2000</v>
      </c>
      <c r="U5" s="197">
        <f>M5</f>
        <v>2000</v>
      </c>
      <c r="V5" s="197">
        <f t="shared" ref="V5:V14" si="0">N5</f>
        <v>0</v>
      </c>
      <c r="W5" s="197">
        <f t="shared" ref="W5:W14" si="1">O5</f>
        <v>0</v>
      </c>
      <c r="X5" s="197">
        <f t="shared" ref="X5:X14" si="2">P5</f>
        <v>0</v>
      </c>
      <c r="Y5" s="197">
        <f t="shared" ref="Y5:Y14" si="3">Q5</f>
        <v>0</v>
      </c>
    </row>
    <row r="6" spans="1:27" ht="15.75" x14ac:dyDescent="0.5">
      <c r="A6" s="116" t="s">
        <v>52</v>
      </c>
      <c r="B6" s="142">
        <v>44000</v>
      </c>
      <c r="C6" s="116" t="s">
        <v>188</v>
      </c>
      <c r="D6" s="405">
        <f>'Table C'!F11</f>
        <v>5.2399999999999999E-3</v>
      </c>
      <c r="E6" s="116" t="s">
        <v>240</v>
      </c>
      <c r="F6" s="14"/>
      <c r="G6" s="405">
        <f>'Table C'!I11</f>
        <v>6.1200000000000004E-3</v>
      </c>
      <c r="H6" s="402" t="s">
        <v>240</v>
      </c>
      <c r="I6" s="116"/>
      <c r="L6" s="197">
        <v>4000</v>
      </c>
      <c r="M6" s="197">
        <v>2000</v>
      </c>
      <c r="N6" s="142">
        <f>L6-M6</f>
        <v>2000</v>
      </c>
      <c r="R6" s="197">
        <f>SUM(M6:Q6)</f>
        <v>4000</v>
      </c>
      <c r="T6" s="197">
        <v>4000</v>
      </c>
      <c r="U6" s="197">
        <f t="shared" ref="U6:U14" si="4">M6</f>
        <v>2000</v>
      </c>
      <c r="V6" s="197">
        <f t="shared" si="0"/>
        <v>2000</v>
      </c>
      <c r="W6" s="197">
        <f t="shared" si="1"/>
        <v>0</v>
      </c>
      <c r="X6" s="197">
        <f t="shared" si="2"/>
        <v>0</v>
      </c>
      <c r="Y6" s="197">
        <f t="shared" si="3"/>
        <v>0</v>
      </c>
      <c r="Z6" s="197">
        <f>SUM(U6:Y6)</f>
        <v>4000</v>
      </c>
    </row>
    <row r="7" spans="1:27" ht="15.75" x14ac:dyDescent="0.5">
      <c r="A7" s="116" t="s">
        <v>52</v>
      </c>
      <c r="B7" s="142">
        <v>50000</v>
      </c>
      <c r="C7" s="116" t="s">
        <v>188</v>
      </c>
      <c r="D7" s="405">
        <f>'Table C'!F12</f>
        <v>4.5100000000000001E-3</v>
      </c>
      <c r="E7" s="116" t="s">
        <v>240</v>
      </c>
      <c r="F7" s="14"/>
      <c r="G7" s="405">
        <f>'Table C'!I12</f>
        <v>5.2700000000000004E-3</v>
      </c>
      <c r="H7" s="402" t="s">
        <v>240</v>
      </c>
      <c r="I7" s="116"/>
      <c r="L7" s="197">
        <v>6000</v>
      </c>
      <c r="M7" s="197">
        <v>2000</v>
      </c>
      <c r="N7" s="142">
        <f t="shared" ref="N7" si="5">L7-M7</f>
        <v>4000</v>
      </c>
      <c r="O7" s="197">
        <f>L7-M7-N7</f>
        <v>0</v>
      </c>
      <c r="R7" s="197">
        <f t="shared" ref="R7:R14" si="6">SUM(M7:Q7)</f>
        <v>6000</v>
      </c>
      <c r="T7" s="197">
        <v>6000</v>
      </c>
      <c r="U7" s="197">
        <f t="shared" si="4"/>
        <v>2000</v>
      </c>
      <c r="V7" s="197">
        <f t="shared" si="0"/>
        <v>4000</v>
      </c>
      <c r="W7" s="197">
        <f t="shared" si="1"/>
        <v>0</v>
      </c>
      <c r="X7" s="197">
        <f t="shared" si="2"/>
        <v>0</v>
      </c>
      <c r="Y7" s="197">
        <f t="shared" si="3"/>
        <v>0</v>
      </c>
      <c r="Z7" s="197">
        <f t="shared" ref="Z7:Z14" si="7">SUM(U7:Y7)</f>
        <v>6000</v>
      </c>
    </row>
    <row r="8" spans="1:27" ht="15.75" x14ac:dyDescent="0.5">
      <c r="A8" s="116" t="s">
        <v>114</v>
      </c>
      <c r="B8" s="142">
        <f>SUM(B4:B7)</f>
        <v>100000</v>
      </c>
      <c r="C8" s="116" t="s">
        <v>188</v>
      </c>
      <c r="D8" s="405">
        <f>'Table C'!F13</f>
        <v>3.7599999999999999E-3</v>
      </c>
      <c r="E8" s="116" t="s">
        <v>240</v>
      </c>
      <c r="F8" s="14"/>
      <c r="G8" s="405">
        <f>'Table C'!I13</f>
        <v>4.3900000000000007E-3</v>
      </c>
      <c r="H8" s="402" t="s">
        <v>240</v>
      </c>
      <c r="I8" s="116"/>
      <c r="L8" s="197">
        <v>8000</v>
      </c>
      <c r="M8" s="197">
        <v>2000</v>
      </c>
      <c r="N8" s="142">
        <v>4000</v>
      </c>
      <c r="O8" s="197">
        <f>L8-M8-N8</f>
        <v>2000</v>
      </c>
      <c r="R8" s="197">
        <f t="shared" si="6"/>
        <v>8000</v>
      </c>
      <c r="T8" s="197">
        <v>8000</v>
      </c>
      <c r="U8" s="197">
        <f t="shared" si="4"/>
        <v>2000</v>
      </c>
      <c r="V8" s="197">
        <f t="shared" si="0"/>
        <v>4000</v>
      </c>
      <c r="W8" s="197">
        <f t="shared" si="1"/>
        <v>2000</v>
      </c>
      <c r="X8" s="197">
        <f t="shared" si="2"/>
        <v>0</v>
      </c>
      <c r="Y8" s="197">
        <f t="shared" si="3"/>
        <v>0</v>
      </c>
      <c r="Z8" s="197">
        <f t="shared" si="7"/>
        <v>8000</v>
      </c>
    </row>
    <row r="9" spans="1:27" x14ac:dyDescent="0.4">
      <c r="E9" s="514"/>
      <c r="F9" s="116"/>
      <c r="L9" s="197">
        <v>10000</v>
      </c>
      <c r="M9" s="197">
        <v>2000</v>
      </c>
      <c r="N9" s="142">
        <v>4000</v>
      </c>
      <c r="O9" s="197">
        <f>L9-M9-N9</f>
        <v>4000</v>
      </c>
      <c r="R9" s="197">
        <f t="shared" si="6"/>
        <v>10000</v>
      </c>
      <c r="T9" s="197">
        <v>10000</v>
      </c>
      <c r="U9" s="197">
        <f t="shared" si="4"/>
        <v>2000</v>
      </c>
      <c r="V9" s="197">
        <f t="shared" si="0"/>
        <v>4000</v>
      </c>
      <c r="W9" s="197">
        <f t="shared" si="1"/>
        <v>4000</v>
      </c>
      <c r="X9" s="197">
        <f t="shared" si="2"/>
        <v>0</v>
      </c>
      <c r="Y9" s="197">
        <f t="shared" si="3"/>
        <v>0</v>
      </c>
      <c r="Z9" s="197">
        <f t="shared" si="7"/>
        <v>10000</v>
      </c>
    </row>
    <row r="10" spans="1:27" x14ac:dyDescent="0.4">
      <c r="E10" s="514"/>
      <c r="F10" s="116"/>
      <c r="L10" s="197">
        <v>12000</v>
      </c>
      <c r="M10" s="197">
        <v>2000</v>
      </c>
      <c r="N10" s="142">
        <v>4000</v>
      </c>
      <c r="O10" s="197">
        <f>L10-M10-N10</f>
        <v>6000</v>
      </c>
      <c r="P10" s="197">
        <f>L10-M10-N10-O10</f>
        <v>0</v>
      </c>
      <c r="R10" s="197">
        <f t="shared" si="6"/>
        <v>12000</v>
      </c>
      <c r="T10" s="197">
        <v>12000</v>
      </c>
      <c r="U10" s="197">
        <f t="shared" si="4"/>
        <v>2000</v>
      </c>
      <c r="V10" s="197">
        <f t="shared" si="0"/>
        <v>4000</v>
      </c>
      <c r="W10" s="197">
        <f t="shared" si="1"/>
        <v>6000</v>
      </c>
      <c r="X10" s="197">
        <f t="shared" si="2"/>
        <v>0</v>
      </c>
      <c r="Y10" s="197">
        <f t="shared" si="3"/>
        <v>0</v>
      </c>
      <c r="Z10" s="197">
        <f t="shared" si="7"/>
        <v>12000</v>
      </c>
    </row>
    <row r="11" spans="1:27" x14ac:dyDescent="0.4">
      <c r="E11" s="514"/>
      <c r="F11" s="116"/>
      <c r="L11" s="197">
        <v>14000</v>
      </c>
      <c r="M11" s="197">
        <v>2000</v>
      </c>
      <c r="N11" s="142">
        <v>4000</v>
      </c>
      <c r="O11" s="197">
        <f t="shared" ref="O11:O14" si="8">L11-M11-N11</f>
        <v>8000</v>
      </c>
      <c r="P11" s="197">
        <f>L11-M11-N11-O11</f>
        <v>0</v>
      </c>
      <c r="R11" s="197">
        <f t="shared" si="6"/>
        <v>14000</v>
      </c>
      <c r="T11" s="197">
        <v>14000</v>
      </c>
      <c r="U11" s="197">
        <f t="shared" si="4"/>
        <v>2000</v>
      </c>
      <c r="V11" s="197">
        <f t="shared" si="0"/>
        <v>4000</v>
      </c>
      <c r="W11" s="197">
        <f t="shared" si="1"/>
        <v>8000</v>
      </c>
      <c r="X11" s="197">
        <f t="shared" si="2"/>
        <v>0</v>
      </c>
      <c r="Y11" s="197">
        <f t="shared" si="3"/>
        <v>0</v>
      </c>
      <c r="Z11" s="197">
        <f t="shared" si="7"/>
        <v>14000</v>
      </c>
    </row>
    <row r="12" spans="1:27" x14ac:dyDescent="0.4">
      <c r="E12" s="514"/>
      <c r="F12" s="116"/>
      <c r="L12" s="197">
        <v>16000</v>
      </c>
      <c r="M12" s="197">
        <v>2000</v>
      </c>
      <c r="N12" s="142">
        <v>4000</v>
      </c>
      <c r="O12" s="197">
        <f t="shared" si="8"/>
        <v>10000</v>
      </c>
      <c r="P12" s="197">
        <f>L12-M12-N12-O12</f>
        <v>0</v>
      </c>
      <c r="R12" s="197">
        <f t="shared" si="6"/>
        <v>16000</v>
      </c>
      <c r="T12" s="197">
        <v>16000</v>
      </c>
      <c r="U12" s="197">
        <f t="shared" si="4"/>
        <v>2000</v>
      </c>
      <c r="V12" s="197">
        <f t="shared" si="0"/>
        <v>4000</v>
      </c>
      <c r="W12" s="197">
        <f t="shared" si="1"/>
        <v>10000</v>
      </c>
      <c r="X12" s="197">
        <f t="shared" si="2"/>
        <v>0</v>
      </c>
      <c r="Y12" s="197">
        <f t="shared" si="3"/>
        <v>0</v>
      </c>
      <c r="Z12" s="197">
        <f t="shared" si="7"/>
        <v>16000</v>
      </c>
    </row>
    <row r="13" spans="1:27" x14ac:dyDescent="0.4">
      <c r="E13" s="514"/>
      <c r="F13" s="116"/>
      <c r="L13" s="197">
        <v>18000</v>
      </c>
      <c r="M13" s="197">
        <v>2000</v>
      </c>
      <c r="N13" s="142">
        <v>4000</v>
      </c>
      <c r="O13" s="197">
        <f t="shared" si="8"/>
        <v>12000</v>
      </c>
      <c r="P13" s="197">
        <f t="shared" ref="P13:P14" si="9">L13-M13-N13-O13</f>
        <v>0</v>
      </c>
      <c r="Q13" s="197">
        <f>L13-M13-N13-O13-P13</f>
        <v>0</v>
      </c>
      <c r="R13" s="197">
        <f t="shared" si="6"/>
        <v>18000</v>
      </c>
      <c r="T13" s="197">
        <v>18000</v>
      </c>
      <c r="U13" s="197">
        <f t="shared" si="4"/>
        <v>2000</v>
      </c>
      <c r="V13" s="197">
        <f t="shared" si="0"/>
        <v>4000</v>
      </c>
      <c r="W13" s="197">
        <f t="shared" si="1"/>
        <v>12000</v>
      </c>
      <c r="X13" s="197">
        <f t="shared" si="2"/>
        <v>0</v>
      </c>
      <c r="Y13" s="197">
        <f t="shared" si="3"/>
        <v>0</v>
      </c>
      <c r="Z13" s="197">
        <f t="shared" si="7"/>
        <v>18000</v>
      </c>
    </row>
    <row r="14" spans="1:27" x14ac:dyDescent="0.4">
      <c r="E14" s="514"/>
      <c r="F14" s="116"/>
      <c r="L14" s="197">
        <v>20000</v>
      </c>
      <c r="M14" s="197">
        <v>2000</v>
      </c>
      <c r="N14" s="142">
        <v>4000</v>
      </c>
      <c r="O14" s="197">
        <f t="shared" si="8"/>
        <v>14000</v>
      </c>
      <c r="P14" s="197">
        <f t="shared" si="9"/>
        <v>0</v>
      </c>
      <c r="Q14" s="197">
        <f>+L14-M14-N14-O14-P14</f>
        <v>0</v>
      </c>
      <c r="R14" s="197">
        <f t="shared" si="6"/>
        <v>20000</v>
      </c>
      <c r="T14" s="197">
        <v>20000</v>
      </c>
      <c r="U14" s="197">
        <f t="shared" si="4"/>
        <v>2000</v>
      </c>
      <c r="V14" s="197">
        <f t="shared" si="0"/>
        <v>4000</v>
      </c>
      <c r="W14" s="197">
        <f t="shared" si="1"/>
        <v>14000</v>
      </c>
      <c r="X14" s="197">
        <f t="shared" si="2"/>
        <v>0</v>
      </c>
      <c r="Y14" s="197">
        <f t="shared" si="3"/>
        <v>0</v>
      </c>
      <c r="Z14" s="197">
        <f t="shared" si="7"/>
        <v>20000</v>
      </c>
    </row>
    <row r="15" spans="1:27" x14ac:dyDescent="0.4">
      <c r="E15" s="514"/>
      <c r="F15" s="116"/>
    </row>
    <row r="16" spans="1:27" x14ac:dyDescent="0.4">
      <c r="E16" s="514"/>
      <c r="F16" s="116"/>
      <c r="L16" s="197">
        <v>2000</v>
      </c>
      <c r="M16" s="138">
        <f>M4</f>
        <v>20.38</v>
      </c>
      <c r="N16" s="138"/>
      <c r="O16" s="138"/>
      <c r="P16" s="138"/>
      <c r="Q16" s="138"/>
      <c r="R16" s="138">
        <f>SUM(M16:Q16)</f>
        <v>20.38</v>
      </c>
      <c r="T16" s="197">
        <v>2000</v>
      </c>
      <c r="U16" s="138">
        <f>U4</f>
        <v>23.83</v>
      </c>
      <c r="V16" s="138"/>
      <c r="W16" s="138"/>
      <c r="X16" s="138"/>
      <c r="Y16" s="138"/>
      <c r="Z16" s="138">
        <f>SUM(U16:Y16)</f>
        <v>23.83</v>
      </c>
      <c r="AA16">
        <v>27.33</v>
      </c>
    </row>
    <row r="17" spans="1:27" x14ac:dyDescent="0.4">
      <c r="E17" s="514"/>
      <c r="F17" s="116"/>
      <c r="L17" s="197">
        <v>4000</v>
      </c>
      <c r="M17" s="138">
        <f>M16</f>
        <v>20.38</v>
      </c>
      <c r="N17" s="138">
        <f>N6*N$4</f>
        <v>11.799999999999999</v>
      </c>
      <c r="O17" s="138"/>
      <c r="P17" s="138"/>
      <c r="Q17" s="138"/>
      <c r="R17" s="138">
        <f t="shared" ref="R17:R25" si="10">SUM(M17:Q17)</f>
        <v>32.18</v>
      </c>
      <c r="T17" s="197">
        <v>4000</v>
      </c>
      <c r="U17" s="138">
        <f>U16</f>
        <v>23.83</v>
      </c>
      <c r="V17" s="138">
        <f>V6*V$4</f>
        <v>13.780000000000001</v>
      </c>
      <c r="W17" s="138"/>
      <c r="X17" s="138"/>
      <c r="Y17" s="138"/>
      <c r="Z17" s="138">
        <f t="shared" ref="Z17:Z25" si="11">SUM(U17:Y17)</f>
        <v>37.61</v>
      </c>
      <c r="AA17">
        <v>43.15</v>
      </c>
    </row>
    <row r="18" spans="1:27" x14ac:dyDescent="0.4">
      <c r="E18" s="514"/>
      <c r="F18" s="116"/>
      <c r="L18" s="197">
        <v>6000</v>
      </c>
      <c r="M18" s="138">
        <f t="shared" ref="M18:M25" si="12">M17</f>
        <v>20.38</v>
      </c>
      <c r="N18" s="138">
        <f t="shared" ref="N18:O25" si="13">N7*N$4</f>
        <v>23.599999999999998</v>
      </c>
      <c r="O18" s="138">
        <f>O7*O$4</f>
        <v>0</v>
      </c>
      <c r="P18" s="138">
        <f>P7*P$4</f>
        <v>0</v>
      </c>
      <c r="Q18" s="138">
        <f>Q7*Q$4</f>
        <v>0</v>
      </c>
      <c r="R18" s="138">
        <f t="shared" si="10"/>
        <v>43.98</v>
      </c>
      <c r="T18" s="197">
        <v>6000</v>
      </c>
      <c r="U18" s="138">
        <f t="shared" ref="U18:U25" si="14">U17</f>
        <v>23.83</v>
      </c>
      <c r="V18" s="138">
        <f t="shared" ref="V18" si="15">V7*V$4</f>
        <v>27.560000000000002</v>
      </c>
      <c r="W18" s="138">
        <f>W7*W$4</f>
        <v>0</v>
      </c>
      <c r="X18" s="138">
        <f>X7*X$4</f>
        <v>0</v>
      </c>
      <c r="Y18" s="138">
        <f>Y7*Y$4</f>
        <v>0</v>
      </c>
      <c r="Z18" s="138">
        <f t="shared" si="11"/>
        <v>51.39</v>
      </c>
      <c r="AA18">
        <v>58.97</v>
      </c>
    </row>
    <row r="19" spans="1:27" x14ac:dyDescent="0.4">
      <c r="E19" s="514"/>
      <c r="F19" s="116"/>
      <c r="L19" s="197">
        <v>8000</v>
      </c>
      <c r="M19" s="138">
        <f t="shared" si="12"/>
        <v>20.38</v>
      </c>
      <c r="N19" s="138">
        <f t="shared" si="13"/>
        <v>23.599999999999998</v>
      </c>
      <c r="O19" s="138">
        <f t="shared" si="13"/>
        <v>10.48</v>
      </c>
      <c r="P19" s="138">
        <f t="shared" ref="P19:Q19" si="16">P8*P$4</f>
        <v>0</v>
      </c>
      <c r="Q19" s="138">
        <f t="shared" si="16"/>
        <v>0</v>
      </c>
      <c r="R19" s="138">
        <f t="shared" si="10"/>
        <v>54.459999999999994</v>
      </c>
      <c r="T19" s="197">
        <v>8000</v>
      </c>
      <c r="U19" s="138">
        <f t="shared" si="14"/>
        <v>23.83</v>
      </c>
      <c r="V19" s="138">
        <f t="shared" ref="V19:Y19" si="17">V8*V$4</f>
        <v>27.560000000000002</v>
      </c>
      <c r="W19" s="138">
        <f t="shared" si="17"/>
        <v>12.24</v>
      </c>
      <c r="X19" s="138">
        <f t="shared" si="17"/>
        <v>0</v>
      </c>
      <c r="Y19" s="138">
        <f t="shared" si="17"/>
        <v>0</v>
      </c>
      <c r="Z19" s="138">
        <f t="shared" si="11"/>
        <v>63.63</v>
      </c>
      <c r="AA19">
        <v>73.010000000000005</v>
      </c>
    </row>
    <row r="20" spans="1:27" x14ac:dyDescent="0.4">
      <c r="E20" s="514"/>
      <c r="F20" s="116"/>
      <c r="L20" s="197">
        <v>10000</v>
      </c>
      <c r="M20" s="138">
        <f t="shared" si="12"/>
        <v>20.38</v>
      </c>
      <c r="N20" s="138">
        <f t="shared" si="13"/>
        <v>23.599999999999998</v>
      </c>
      <c r="O20" s="138">
        <f t="shared" si="13"/>
        <v>20.96</v>
      </c>
      <c r="P20" s="138">
        <f t="shared" ref="P20:Q20" si="18">P9*P$4</f>
        <v>0</v>
      </c>
      <c r="Q20" s="138">
        <f t="shared" si="18"/>
        <v>0</v>
      </c>
      <c r="R20" s="138">
        <f t="shared" si="10"/>
        <v>64.94</v>
      </c>
      <c r="T20" s="197">
        <v>10000</v>
      </c>
      <c r="U20" s="138">
        <f t="shared" si="14"/>
        <v>23.83</v>
      </c>
      <c r="V20" s="138">
        <f t="shared" ref="V20:Y20" si="19">V9*V$4</f>
        <v>27.560000000000002</v>
      </c>
      <c r="W20" s="138">
        <f t="shared" si="19"/>
        <v>24.48</v>
      </c>
      <c r="X20" s="138">
        <f t="shared" si="19"/>
        <v>0</v>
      </c>
      <c r="Y20" s="138">
        <f t="shared" si="19"/>
        <v>0</v>
      </c>
      <c r="Z20" s="138">
        <f t="shared" si="11"/>
        <v>75.87</v>
      </c>
      <c r="AA20">
        <v>87.05</v>
      </c>
    </row>
    <row r="21" spans="1:27" x14ac:dyDescent="0.4">
      <c r="E21" s="514"/>
      <c r="F21" s="116"/>
      <c r="L21" s="197">
        <v>12000</v>
      </c>
      <c r="M21" s="138">
        <f t="shared" si="12"/>
        <v>20.38</v>
      </c>
      <c r="N21" s="138">
        <f t="shared" si="13"/>
        <v>23.599999999999998</v>
      </c>
      <c r="O21" s="138">
        <f t="shared" si="13"/>
        <v>31.439999999999998</v>
      </c>
      <c r="P21" s="138">
        <f t="shared" ref="P21:Q21" si="20">P10*P$4</f>
        <v>0</v>
      </c>
      <c r="Q21" s="138">
        <f t="shared" si="20"/>
        <v>0</v>
      </c>
      <c r="R21" s="138">
        <f t="shared" si="10"/>
        <v>75.419999999999987</v>
      </c>
      <c r="T21" s="197">
        <v>12000</v>
      </c>
      <c r="U21" s="138">
        <f t="shared" si="14"/>
        <v>23.83</v>
      </c>
      <c r="V21" s="138">
        <f t="shared" ref="V21:Y21" si="21">V10*V$4</f>
        <v>27.560000000000002</v>
      </c>
      <c r="W21" s="138">
        <f t="shared" si="21"/>
        <v>36.720000000000006</v>
      </c>
      <c r="X21" s="138">
        <f t="shared" si="21"/>
        <v>0</v>
      </c>
      <c r="Y21" s="138">
        <f t="shared" si="21"/>
        <v>0</v>
      </c>
      <c r="Z21" s="138">
        <f t="shared" si="11"/>
        <v>88.110000000000014</v>
      </c>
      <c r="AA21">
        <v>101.09</v>
      </c>
    </row>
    <row r="22" spans="1:27" x14ac:dyDescent="0.4">
      <c r="E22" s="514"/>
      <c r="F22" s="116"/>
      <c r="L22" s="197">
        <v>14000</v>
      </c>
      <c r="M22" s="138">
        <f t="shared" si="12"/>
        <v>20.38</v>
      </c>
      <c r="N22" s="138">
        <f t="shared" si="13"/>
        <v>23.599999999999998</v>
      </c>
      <c r="O22" s="138">
        <f t="shared" si="13"/>
        <v>41.92</v>
      </c>
      <c r="P22" s="138">
        <f t="shared" ref="P22:Q22" si="22">P11*P$4</f>
        <v>0</v>
      </c>
      <c r="Q22" s="138">
        <f t="shared" si="22"/>
        <v>0</v>
      </c>
      <c r="R22" s="138">
        <f t="shared" si="10"/>
        <v>85.9</v>
      </c>
      <c r="T22" s="197">
        <v>14000</v>
      </c>
      <c r="U22" s="138">
        <f t="shared" si="14"/>
        <v>23.83</v>
      </c>
      <c r="V22" s="138">
        <f t="shared" ref="V22:Y22" si="23">V11*V$4</f>
        <v>27.560000000000002</v>
      </c>
      <c r="W22" s="138">
        <f t="shared" si="23"/>
        <v>48.96</v>
      </c>
      <c r="X22" s="138">
        <f t="shared" si="23"/>
        <v>0</v>
      </c>
      <c r="Y22" s="138">
        <f t="shared" si="23"/>
        <v>0</v>
      </c>
      <c r="Z22" s="138">
        <f t="shared" si="11"/>
        <v>100.35</v>
      </c>
      <c r="AA22">
        <v>115.13</v>
      </c>
    </row>
    <row r="23" spans="1:27" x14ac:dyDescent="0.4">
      <c r="E23" s="514"/>
      <c r="F23" s="116"/>
      <c r="L23" s="197">
        <v>16000</v>
      </c>
      <c r="M23" s="138">
        <f t="shared" si="12"/>
        <v>20.38</v>
      </c>
      <c r="N23" s="138">
        <f t="shared" si="13"/>
        <v>23.599999999999998</v>
      </c>
      <c r="O23" s="138">
        <f t="shared" si="13"/>
        <v>52.4</v>
      </c>
      <c r="P23" s="138">
        <f t="shared" ref="P23:Q23" si="24">P12*P$4</f>
        <v>0</v>
      </c>
      <c r="Q23" s="138">
        <f t="shared" si="24"/>
        <v>0</v>
      </c>
      <c r="R23" s="138">
        <f t="shared" si="10"/>
        <v>96.38</v>
      </c>
      <c r="T23" s="197">
        <v>16000</v>
      </c>
      <c r="U23" s="138">
        <f t="shared" si="14"/>
        <v>23.83</v>
      </c>
      <c r="V23" s="138">
        <f t="shared" ref="V23:Y23" si="25">V12*V$4</f>
        <v>27.560000000000002</v>
      </c>
      <c r="W23" s="138">
        <f t="shared" si="25"/>
        <v>61.2</v>
      </c>
      <c r="X23" s="138">
        <f t="shared" si="25"/>
        <v>0</v>
      </c>
      <c r="Y23" s="138">
        <f t="shared" si="25"/>
        <v>0</v>
      </c>
      <c r="Z23" s="138">
        <f t="shared" si="11"/>
        <v>112.59</v>
      </c>
      <c r="AA23">
        <v>129.17000000000002</v>
      </c>
    </row>
    <row r="24" spans="1:27" x14ac:dyDescent="0.4">
      <c r="E24" s="514"/>
      <c r="F24" s="116"/>
      <c r="L24" s="197">
        <v>18000</v>
      </c>
      <c r="M24" s="138">
        <f t="shared" si="12"/>
        <v>20.38</v>
      </c>
      <c r="N24" s="138">
        <f t="shared" si="13"/>
        <v>23.599999999999998</v>
      </c>
      <c r="O24" s="138">
        <f t="shared" si="13"/>
        <v>62.879999999999995</v>
      </c>
      <c r="P24" s="138">
        <f t="shared" ref="P24:Q24" si="26">P13*P$4</f>
        <v>0</v>
      </c>
      <c r="Q24" s="138">
        <f t="shared" si="26"/>
        <v>0</v>
      </c>
      <c r="R24" s="138">
        <f t="shared" si="10"/>
        <v>106.85999999999999</v>
      </c>
      <c r="T24" s="197">
        <v>18000</v>
      </c>
      <c r="U24" s="138">
        <f t="shared" si="14"/>
        <v>23.83</v>
      </c>
      <c r="V24" s="138">
        <f t="shared" ref="V24:Y24" si="27">V13*V$4</f>
        <v>27.560000000000002</v>
      </c>
      <c r="W24" s="138">
        <f t="shared" si="27"/>
        <v>73.440000000000012</v>
      </c>
      <c r="X24" s="138">
        <f t="shared" si="27"/>
        <v>0</v>
      </c>
      <c r="Y24" s="138">
        <f t="shared" si="27"/>
        <v>0</v>
      </c>
      <c r="Z24" s="138">
        <f t="shared" si="11"/>
        <v>124.83000000000001</v>
      </c>
      <c r="AA24">
        <v>143.21</v>
      </c>
    </row>
    <row r="25" spans="1:27" x14ac:dyDescent="0.4">
      <c r="E25" s="514"/>
      <c r="F25" s="116"/>
      <c r="L25" s="197">
        <v>20000</v>
      </c>
      <c r="M25" s="138">
        <f t="shared" si="12"/>
        <v>20.38</v>
      </c>
      <c r="N25" s="138">
        <f t="shared" si="13"/>
        <v>23.599999999999998</v>
      </c>
      <c r="O25" s="138">
        <f t="shared" si="13"/>
        <v>73.36</v>
      </c>
      <c r="P25" s="138">
        <f t="shared" ref="P25:Q25" si="28">P14*P$4</f>
        <v>0</v>
      </c>
      <c r="Q25" s="138">
        <f t="shared" si="28"/>
        <v>0</v>
      </c>
      <c r="R25" s="138">
        <f t="shared" si="10"/>
        <v>117.34</v>
      </c>
      <c r="T25" s="197">
        <v>20000</v>
      </c>
      <c r="U25" s="138">
        <f t="shared" si="14"/>
        <v>23.83</v>
      </c>
      <c r="V25" s="138">
        <f t="shared" ref="V25:Y25" si="29">V14*V$4</f>
        <v>27.560000000000002</v>
      </c>
      <c r="W25" s="138">
        <f t="shared" si="29"/>
        <v>85.68</v>
      </c>
      <c r="X25" s="138">
        <f t="shared" si="29"/>
        <v>0</v>
      </c>
      <c r="Y25" s="138">
        <f t="shared" si="29"/>
        <v>0</v>
      </c>
      <c r="Z25" s="138">
        <f t="shared" si="11"/>
        <v>137.07</v>
      </c>
      <c r="AA25">
        <v>157.25</v>
      </c>
    </row>
    <row r="27" spans="1:27" ht="20.65" x14ac:dyDescent="0.6">
      <c r="A27" s="685" t="s">
        <v>697</v>
      </c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</row>
    <row r="28" spans="1:27" x14ac:dyDescent="0.4">
      <c r="C28" s="512"/>
      <c r="I28" s="513"/>
      <c r="L28" s="686" t="s">
        <v>700</v>
      </c>
      <c r="M28" s="686"/>
      <c r="N28" s="686"/>
      <c r="O28" s="686"/>
      <c r="P28" s="686"/>
      <c r="Q28" s="686"/>
      <c r="R28" s="686"/>
      <c r="T28" s="686" t="s">
        <v>701</v>
      </c>
      <c r="U28" s="686"/>
      <c r="V28" s="686"/>
      <c r="W28" s="686"/>
      <c r="X28" s="686"/>
      <c r="Y28" s="686"/>
      <c r="Z28" s="686"/>
    </row>
    <row r="29" spans="1:27" ht="15.75" x14ac:dyDescent="0.5">
      <c r="A29" s="116" t="s">
        <v>333</v>
      </c>
      <c r="B29" s="142"/>
      <c r="D29" s="684" t="s">
        <v>696</v>
      </c>
      <c r="E29" s="684"/>
      <c r="F29" s="14"/>
      <c r="G29" s="657" t="s">
        <v>702</v>
      </c>
      <c r="H29" s="657"/>
      <c r="I29" s="657"/>
      <c r="J29" s="403"/>
      <c r="K29" s="116"/>
      <c r="M29" s="142">
        <v>2000</v>
      </c>
      <c r="N29" s="142">
        <v>4000</v>
      </c>
      <c r="O29" s="142">
        <v>44000</v>
      </c>
      <c r="P29" s="142">
        <v>50000</v>
      </c>
      <c r="Q29" s="142">
        <f>SUM(M29:P29)</f>
        <v>100000</v>
      </c>
      <c r="U29" s="142">
        <v>2000</v>
      </c>
      <c r="V29" s="142">
        <v>4000</v>
      </c>
      <c r="W29" s="142">
        <v>44000</v>
      </c>
      <c r="X29" s="142">
        <v>50000</v>
      </c>
      <c r="Y29" s="142">
        <f>SUM(U29:X29)</f>
        <v>100000</v>
      </c>
    </row>
    <row r="30" spans="1:27" ht="15.75" x14ac:dyDescent="0.5">
      <c r="A30" s="116" t="s">
        <v>51</v>
      </c>
      <c r="B30" s="142">
        <v>2000</v>
      </c>
      <c r="C30" s="116" t="s">
        <v>188</v>
      </c>
      <c r="D30" s="404">
        <f>G4</f>
        <v>23.83</v>
      </c>
      <c r="E30" s="116" t="s">
        <v>241</v>
      </c>
      <c r="F30" s="14"/>
      <c r="G30" s="404">
        <f>'Table C'!P9</f>
        <v>27.33</v>
      </c>
      <c r="H30" s="402" t="s">
        <v>241</v>
      </c>
      <c r="I30" s="116"/>
      <c r="M30" s="138">
        <f>D30</f>
        <v>23.83</v>
      </c>
      <c r="N30" s="271">
        <f>D31</f>
        <v>6.8900000000000003E-3</v>
      </c>
      <c r="O30" s="271">
        <f>D32</f>
        <v>6.1200000000000004E-3</v>
      </c>
      <c r="P30" s="271">
        <f>D33</f>
        <v>5.2700000000000004E-3</v>
      </c>
      <c r="Q30" s="271">
        <f>D34</f>
        <v>4.3900000000000007E-3</v>
      </c>
      <c r="U30" s="138">
        <f>G30</f>
        <v>27.33</v>
      </c>
      <c r="V30" s="271">
        <f>G31</f>
        <v>7.9100000000000004E-3</v>
      </c>
      <c r="W30" s="271">
        <f>G32</f>
        <v>7.0200000000000002E-3</v>
      </c>
      <c r="X30" s="271">
        <f>G33</f>
        <v>6.0400000000000002E-3</v>
      </c>
      <c r="Y30" s="271">
        <f>G34</f>
        <v>5.0300000000000006E-3</v>
      </c>
    </row>
    <row r="31" spans="1:27" ht="15.75" x14ac:dyDescent="0.5">
      <c r="A31" s="116" t="s">
        <v>52</v>
      </c>
      <c r="B31" s="142">
        <v>4000</v>
      </c>
      <c r="C31" s="116" t="s">
        <v>188</v>
      </c>
      <c r="D31" s="405">
        <f>G5</f>
        <v>6.8900000000000003E-3</v>
      </c>
      <c r="E31" s="116" t="s">
        <v>240</v>
      </c>
      <c r="F31" s="14"/>
      <c r="G31" s="405">
        <f>'Table C'!P10</f>
        <v>7.9100000000000004E-3</v>
      </c>
      <c r="H31" s="402" t="s">
        <v>240</v>
      </c>
      <c r="I31" s="116"/>
      <c r="L31" s="197">
        <v>2000</v>
      </c>
      <c r="M31" s="197">
        <v>2000</v>
      </c>
      <c r="N31" s="197">
        <f>L31-M31</f>
        <v>0</v>
      </c>
      <c r="T31" s="197">
        <v>2000</v>
      </c>
      <c r="U31" s="197">
        <f>M31</f>
        <v>2000</v>
      </c>
      <c r="V31" s="197">
        <f t="shared" ref="V31:V40" si="30">N31</f>
        <v>0</v>
      </c>
      <c r="W31" s="197">
        <f t="shared" ref="W31:W40" si="31">O31</f>
        <v>0</v>
      </c>
      <c r="X31" s="197">
        <f t="shared" ref="X31:X40" si="32">P31</f>
        <v>0</v>
      </c>
      <c r="Y31" s="197">
        <f t="shared" ref="Y31:Y40" si="33">Q31</f>
        <v>0</v>
      </c>
    </row>
    <row r="32" spans="1:27" ht="15.75" x14ac:dyDescent="0.5">
      <c r="A32" s="116" t="s">
        <v>52</v>
      </c>
      <c r="B32" s="142">
        <v>44000</v>
      </c>
      <c r="C32" s="116" t="s">
        <v>188</v>
      </c>
      <c r="D32" s="405">
        <f t="shared" ref="D32:D34" si="34">G6</f>
        <v>6.1200000000000004E-3</v>
      </c>
      <c r="E32" s="116" t="s">
        <v>240</v>
      </c>
      <c r="F32" s="14"/>
      <c r="G32" s="405">
        <f>'Table C'!P11</f>
        <v>7.0200000000000002E-3</v>
      </c>
      <c r="H32" s="402" t="s">
        <v>240</v>
      </c>
      <c r="I32" s="116"/>
      <c r="L32" s="197">
        <v>4000</v>
      </c>
      <c r="M32" s="197">
        <v>2000</v>
      </c>
      <c r="N32" s="142">
        <f>L32-M32</f>
        <v>2000</v>
      </c>
      <c r="R32" s="197">
        <f>SUM(M32:Q32)</f>
        <v>4000</v>
      </c>
      <c r="T32" s="197">
        <v>4000</v>
      </c>
      <c r="U32" s="197">
        <f t="shared" ref="U32:U40" si="35">M32</f>
        <v>2000</v>
      </c>
      <c r="V32" s="197">
        <f t="shared" si="30"/>
        <v>2000</v>
      </c>
      <c r="W32" s="197">
        <f t="shared" si="31"/>
        <v>0</v>
      </c>
      <c r="X32" s="197">
        <f t="shared" si="32"/>
        <v>0</v>
      </c>
      <c r="Y32" s="197">
        <f t="shared" si="33"/>
        <v>0</v>
      </c>
      <c r="Z32" s="197">
        <f>SUM(U32:Y32)</f>
        <v>4000</v>
      </c>
    </row>
    <row r="33" spans="1:26" ht="15.75" x14ac:dyDescent="0.5">
      <c r="A33" s="116" t="s">
        <v>52</v>
      </c>
      <c r="B33" s="142">
        <v>50000</v>
      </c>
      <c r="C33" s="116" t="s">
        <v>188</v>
      </c>
      <c r="D33" s="405">
        <f t="shared" si="34"/>
        <v>5.2700000000000004E-3</v>
      </c>
      <c r="E33" s="116" t="s">
        <v>240</v>
      </c>
      <c r="F33" s="14"/>
      <c r="G33" s="405">
        <f>'Table C'!P12</f>
        <v>6.0400000000000002E-3</v>
      </c>
      <c r="H33" s="402" t="s">
        <v>240</v>
      </c>
      <c r="I33" s="116"/>
      <c r="L33" s="197">
        <v>6000</v>
      </c>
      <c r="M33" s="197">
        <v>2000</v>
      </c>
      <c r="N33" s="142">
        <f t="shared" ref="N33" si="36">L33-M33</f>
        <v>4000</v>
      </c>
      <c r="O33" s="197">
        <f>L33-M33-N33</f>
        <v>0</v>
      </c>
      <c r="R33" s="197">
        <f t="shared" ref="R33:R40" si="37">SUM(M33:Q33)</f>
        <v>6000</v>
      </c>
      <c r="T33" s="197">
        <v>6000</v>
      </c>
      <c r="U33" s="197">
        <f t="shared" si="35"/>
        <v>2000</v>
      </c>
      <c r="V33" s="197">
        <f t="shared" si="30"/>
        <v>4000</v>
      </c>
      <c r="W33" s="197">
        <f t="shared" si="31"/>
        <v>0</v>
      </c>
      <c r="X33" s="197">
        <f t="shared" si="32"/>
        <v>0</v>
      </c>
      <c r="Y33" s="197">
        <f t="shared" si="33"/>
        <v>0</v>
      </c>
      <c r="Z33" s="197">
        <f t="shared" ref="Z33:Z40" si="38">SUM(U33:Y33)</f>
        <v>6000</v>
      </c>
    </row>
    <row r="34" spans="1:26" ht="15.75" x14ac:dyDescent="0.5">
      <c r="A34" s="116" t="s">
        <v>114</v>
      </c>
      <c r="B34" s="142">
        <f>SUM(B30:B33)</f>
        <v>100000</v>
      </c>
      <c r="C34" s="116" t="s">
        <v>188</v>
      </c>
      <c r="D34" s="405">
        <f t="shared" si="34"/>
        <v>4.3900000000000007E-3</v>
      </c>
      <c r="E34" s="116" t="s">
        <v>240</v>
      </c>
      <c r="F34" s="14"/>
      <c r="G34" s="405">
        <f>'Table C'!P13</f>
        <v>5.0300000000000006E-3</v>
      </c>
      <c r="H34" s="402" t="s">
        <v>240</v>
      </c>
      <c r="I34" s="116"/>
      <c r="L34" s="197">
        <v>8000</v>
      </c>
      <c r="M34" s="197">
        <v>2000</v>
      </c>
      <c r="N34" s="142">
        <v>4000</v>
      </c>
      <c r="O34" s="197">
        <f>L34-M34-N34</f>
        <v>2000</v>
      </c>
      <c r="R34" s="197">
        <f t="shared" si="37"/>
        <v>8000</v>
      </c>
      <c r="T34" s="197">
        <v>8000</v>
      </c>
      <c r="U34" s="197">
        <f t="shared" si="35"/>
        <v>2000</v>
      </c>
      <c r="V34" s="197">
        <f t="shared" si="30"/>
        <v>4000</v>
      </c>
      <c r="W34" s="197">
        <f t="shared" si="31"/>
        <v>2000</v>
      </c>
      <c r="X34" s="197">
        <f t="shared" si="32"/>
        <v>0</v>
      </c>
      <c r="Y34" s="197">
        <f t="shared" si="33"/>
        <v>0</v>
      </c>
      <c r="Z34" s="197">
        <f t="shared" si="38"/>
        <v>8000</v>
      </c>
    </row>
    <row r="35" spans="1:26" x14ac:dyDescent="0.4">
      <c r="E35" s="514"/>
      <c r="F35" s="116"/>
      <c r="L35" s="197">
        <v>10000</v>
      </c>
      <c r="M35" s="197">
        <v>2000</v>
      </c>
      <c r="N35" s="142">
        <v>4000</v>
      </c>
      <c r="O35" s="197">
        <f>L35-M35-N35</f>
        <v>4000</v>
      </c>
      <c r="R35" s="197">
        <f t="shared" si="37"/>
        <v>10000</v>
      </c>
      <c r="T35" s="197">
        <v>10000</v>
      </c>
      <c r="U35" s="197">
        <f t="shared" si="35"/>
        <v>2000</v>
      </c>
      <c r="V35" s="197">
        <f t="shared" si="30"/>
        <v>4000</v>
      </c>
      <c r="W35" s="197">
        <f t="shared" si="31"/>
        <v>4000</v>
      </c>
      <c r="X35" s="197">
        <f t="shared" si="32"/>
        <v>0</v>
      </c>
      <c r="Y35" s="197">
        <f t="shared" si="33"/>
        <v>0</v>
      </c>
      <c r="Z35" s="197">
        <f t="shared" si="38"/>
        <v>10000</v>
      </c>
    </row>
    <row r="36" spans="1:26" x14ac:dyDescent="0.4">
      <c r="E36" s="514"/>
      <c r="F36" s="116"/>
      <c r="L36" s="197">
        <v>12000</v>
      </c>
      <c r="M36" s="197">
        <v>2000</v>
      </c>
      <c r="N36" s="142">
        <v>4000</v>
      </c>
      <c r="O36" s="197">
        <f>L36-M36-N36</f>
        <v>6000</v>
      </c>
      <c r="P36" s="197">
        <f>L36-M36-N36-O36</f>
        <v>0</v>
      </c>
      <c r="R36" s="197">
        <f t="shared" si="37"/>
        <v>12000</v>
      </c>
      <c r="T36" s="197">
        <v>12000</v>
      </c>
      <c r="U36" s="197">
        <f t="shared" si="35"/>
        <v>2000</v>
      </c>
      <c r="V36" s="197">
        <f t="shared" si="30"/>
        <v>4000</v>
      </c>
      <c r="W36" s="197">
        <f t="shared" si="31"/>
        <v>6000</v>
      </c>
      <c r="X36" s="197">
        <f t="shared" si="32"/>
        <v>0</v>
      </c>
      <c r="Y36" s="197">
        <f t="shared" si="33"/>
        <v>0</v>
      </c>
      <c r="Z36" s="197">
        <f t="shared" si="38"/>
        <v>12000</v>
      </c>
    </row>
    <row r="37" spans="1:26" x14ac:dyDescent="0.4">
      <c r="E37" s="514"/>
      <c r="F37" s="116"/>
      <c r="L37" s="197">
        <v>14000</v>
      </c>
      <c r="M37" s="197">
        <v>2000</v>
      </c>
      <c r="N37" s="142">
        <v>4000</v>
      </c>
      <c r="O37" s="197">
        <f t="shared" ref="O37:O40" si="39">L37-M37-N37</f>
        <v>8000</v>
      </c>
      <c r="P37" s="197">
        <f>L37-M37-N37-O37</f>
        <v>0</v>
      </c>
      <c r="R37" s="197">
        <f t="shared" si="37"/>
        <v>14000</v>
      </c>
      <c r="T37" s="197">
        <v>14000</v>
      </c>
      <c r="U37" s="197">
        <f t="shared" si="35"/>
        <v>2000</v>
      </c>
      <c r="V37" s="197">
        <f t="shared" si="30"/>
        <v>4000</v>
      </c>
      <c r="W37" s="197">
        <f t="shared" si="31"/>
        <v>8000</v>
      </c>
      <c r="X37" s="197">
        <f t="shared" si="32"/>
        <v>0</v>
      </c>
      <c r="Y37" s="197">
        <f t="shared" si="33"/>
        <v>0</v>
      </c>
      <c r="Z37" s="197">
        <f t="shared" si="38"/>
        <v>14000</v>
      </c>
    </row>
    <row r="38" spans="1:26" x14ac:dyDescent="0.4">
      <c r="E38" s="514"/>
      <c r="F38" s="116"/>
      <c r="L38" s="197">
        <v>16000</v>
      </c>
      <c r="M38" s="197">
        <v>2000</v>
      </c>
      <c r="N38" s="142">
        <v>4000</v>
      </c>
      <c r="O38" s="197">
        <f t="shared" si="39"/>
        <v>10000</v>
      </c>
      <c r="P38" s="197">
        <f>L38-M38-N38-O38</f>
        <v>0</v>
      </c>
      <c r="R38" s="197">
        <f t="shared" si="37"/>
        <v>16000</v>
      </c>
      <c r="T38" s="197">
        <v>16000</v>
      </c>
      <c r="U38" s="197">
        <f t="shared" si="35"/>
        <v>2000</v>
      </c>
      <c r="V38" s="197">
        <f t="shared" si="30"/>
        <v>4000</v>
      </c>
      <c r="W38" s="197">
        <f t="shared" si="31"/>
        <v>10000</v>
      </c>
      <c r="X38" s="197">
        <f t="shared" si="32"/>
        <v>0</v>
      </c>
      <c r="Y38" s="197">
        <f t="shared" si="33"/>
        <v>0</v>
      </c>
      <c r="Z38" s="197">
        <f t="shared" si="38"/>
        <v>16000</v>
      </c>
    </row>
    <row r="39" spans="1:26" x14ac:dyDescent="0.4">
      <c r="E39" s="514"/>
      <c r="F39" s="116"/>
      <c r="L39" s="197">
        <v>18000</v>
      </c>
      <c r="M39" s="197">
        <v>2000</v>
      </c>
      <c r="N39" s="142">
        <v>4000</v>
      </c>
      <c r="O39" s="197">
        <f t="shared" si="39"/>
        <v>12000</v>
      </c>
      <c r="P39" s="197">
        <f t="shared" ref="P39:P40" si="40">L39-M39-N39-O39</f>
        <v>0</v>
      </c>
      <c r="Q39" s="197">
        <f>L39-M39-N39-O39-P39</f>
        <v>0</v>
      </c>
      <c r="R39" s="197">
        <f t="shared" si="37"/>
        <v>18000</v>
      </c>
      <c r="T39" s="197">
        <v>18000</v>
      </c>
      <c r="U39" s="197">
        <f t="shared" si="35"/>
        <v>2000</v>
      </c>
      <c r="V39" s="197">
        <f t="shared" si="30"/>
        <v>4000</v>
      </c>
      <c r="W39" s="197">
        <f t="shared" si="31"/>
        <v>12000</v>
      </c>
      <c r="X39" s="197">
        <f t="shared" si="32"/>
        <v>0</v>
      </c>
      <c r="Y39" s="197">
        <f t="shared" si="33"/>
        <v>0</v>
      </c>
      <c r="Z39" s="197">
        <f t="shared" si="38"/>
        <v>18000</v>
      </c>
    </row>
    <row r="40" spans="1:26" x14ac:dyDescent="0.4">
      <c r="E40" s="514"/>
      <c r="F40" s="116"/>
      <c r="L40" s="197">
        <v>20000</v>
      </c>
      <c r="M40" s="197">
        <v>2000</v>
      </c>
      <c r="N40" s="142">
        <v>4000</v>
      </c>
      <c r="O40" s="197">
        <f t="shared" si="39"/>
        <v>14000</v>
      </c>
      <c r="P40" s="197">
        <f t="shared" si="40"/>
        <v>0</v>
      </c>
      <c r="Q40" s="197">
        <f>+L40-M40-N40-O40-P40</f>
        <v>0</v>
      </c>
      <c r="R40" s="197">
        <f t="shared" si="37"/>
        <v>20000</v>
      </c>
      <c r="T40" s="197">
        <v>20000</v>
      </c>
      <c r="U40" s="197">
        <f t="shared" si="35"/>
        <v>2000</v>
      </c>
      <c r="V40" s="197">
        <f t="shared" si="30"/>
        <v>4000</v>
      </c>
      <c r="W40" s="197">
        <f t="shared" si="31"/>
        <v>14000</v>
      </c>
      <c r="X40" s="197">
        <f t="shared" si="32"/>
        <v>0</v>
      </c>
      <c r="Y40" s="197">
        <f t="shared" si="33"/>
        <v>0</v>
      </c>
      <c r="Z40" s="197">
        <f t="shared" si="38"/>
        <v>20000</v>
      </c>
    </row>
    <row r="41" spans="1:26" x14ac:dyDescent="0.4">
      <c r="E41" s="514"/>
      <c r="F41" s="116"/>
    </row>
    <row r="42" spans="1:26" x14ac:dyDescent="0.4">
      <c r="E42" s="514"/>
      <c r="F42" s="116"/>
      <c r="L42" s="197">
        <v>2000</v>
      </c>
      <c r="M42" s="138">
        <f>M30</f>
        <v>23.83</v>
      </c>
      <c r="N42" s="138"/>
      <c r="O42" s="138"/>
      <c r="P42" s="138"/>
      <c r="Q42" s="138"/>
      <c r="R42" s="138">
        <f>SUM(M42:Q42)</f>
        <v>23.83</v>
      </c>
      <c r="T42" s="197">
        <v>2000</v>
      </c>
      <c r="U42" s="138">
        <f>U30</f>
        <v>27.33</v>
      </c>
      <c r="V42" s="138"/>
      <c r="W42" s="138"/>
      <c r="X42" s="138"/>
      <c r="Y42" s="138"/>
      <c r="Z42" s="138">
        <f>SUM(U42:Y42)</f>
        <v>27.33</v>
      </c>
    </row>
    <row r="43" spans="1:26" x14ac:dyDescent="0.4">
      <c r="E43" s="514"/>
      <c r="F43" s="116"/>
      <c r="L43" s="197">
        <v>4000</v>
      </c>
      <c r="M43" s="138">
        <f>M42</f>
        <v>23.83</v>
      </c>
      <c r="N43" s="138">
        <f>N32*N$30</f>
        <v>13.780000000000001</v>
      </c>
      <c r="O43" s="138">
        <f t="shared" ref="O43:Q43" si="41">O32*O$30</f>
        <v>0</v>
      </c>
      <c r="P43" s="138">
        <f t="shared" si="41"/>
        <v>0</v>
      </c>
      <c r="Q43" s="138">
        <f t="shared" si="41"/>
        <v>0</v>
      </c>
      <c r="R43" s="138">
        <f t="shared" ref="R43:R51" si="42">SUM(M43:Q43)</f>
        <v>37.61</v>
      </c>
      <c r="T43" s="197">
        <v>4000</v>
      </c>
      <c r="U43" s="138">
        <f>U42</f>
        <v>27.33</v>
      </c>
      <c r="V43" s="138">
        <f>V32*V$30</f>
        <v>15.82</v>
      </c>
      <c r="W43" s="138">
        <f t="shared" ref="W43:Y43" si="43">W32*W$30</f>
        <v>0</v>
      </c>
      <c r="X43" s="138">
        <f t="shared" si="43"/>
        <v>0</v>
      </c>
      <c r="Y43" s="138">
        <f t="shared" si="43"/>
        <v>0</v>
      </c>
      <c r="Z43" s="138">
        <f t="shared" ref="Z43:Z51" si="44">SUM(U43:Y43)</f>
        <v>43.15</v>
      </c>
    </row>
    <row r="44" spans="1:26" x14ac:dyDescent="0.4">
      <c r="E44" s="514"/>
      <c r="F44" s="116"/>
      <c r="L44" s="197">
        <v>6000</v>
      </c>
      <c r="M44" s="138">
        <f t="shared" ref="M44:M51" si="45">M43</f>
        <v>23.83</v>
      </c>
      <c r="N44" s="138">
        <f t="shared" ref="N44:Q51" si="46">N33*N$30</f>
        <v>27.560000000000002</v>
      </c>
      <c r="O44" s="138">
        <f t="shared" si="46"/>
        <v>0</v>
      </c>
      <c r="P44" s="138">
        <f t="shared" si="46"/>
        <v>0</v>
      </c>
      <c r="Q44" s="138">
        <f t="shared" si="46"/>
        <v>0</v>
      </c>
      <c r="R44" s="138">
        <f t="shared" si="42"/>
        <v>51.39</v>
      </c>
      <c r="T44" s="197">
        <v>6000</v>
      </c>
      <c r="U44" s="138">
        <f t="shared" ref="U44:U51" si="47">U43</f>
        <v>27.33</v>
      </c>
      <c r="V44" s="138">
        <f t="shared" ref="V44:Y44" si="48">V33*V$30</f>
        <v>31.64</v>
      </c>
      <c r="W44" s="138">
        <f t="shared" si="48"/>
        <v>0</v>
      </c>
      <c r="X44" s="138">
        <f t="shared" si="48"/>
        <v>0</v>
      </c>
      <c r="Y44" s="138">
        <f t="shared" si="48"/>
        <v>0</v>
      </c>
      <c r="Z44" s="138">
        <f t="shared" si="44"/>
        <v>58.97</v>
      </c>
    </row>
    <row r="45" spans="1:26" x14ac:dyDescent="0.4">
      <c r="E45" s="514"/>
      <c r="F45" s="116"/>
      <c r="L45" s="197">
        <v>8000</v>
      </c>
      <c r="M45" s="138">
        <f t="shared" si="45"/>
        <v>23.83</v>
      </c>
      <c r="N45" s="138">
        <f t="shared" si="46"/>
        <v>27.560000000000002</v>
      </c>
      <c r="O45" s="138">
        <f t="shared" si="46"/>
        <v>12.24</v>
      </c>
      <c r="P45" s="138">
        <f t="shared" si="46"/>
        <v>0</v>
      </c>
      <c r="Q45" s="138">
        <f t="shared" si="46"/>
        <v>0</v>
      </c>
      <c r="R45" s="138">
        <f t="shared" si="42"/>
        <v>63.63</v>
      </c>
      <c r="T45" s="197">
        <v>8000</v>
      </c>
      <c r="U45" s="138">
        <f t="shared" si="47"/>
        <v>27.33</v>
      </c>
      <c r="V45" s="138">
        <f t="shared" ref="V45:Y45" si="49">V34*V$30</f>
        <v>31.64</v>
      </c>
      <c r="W45" s="138">
        <f t="shared" si="49"/>
        <v>14.040000000000001</v>
      </c>
      <c r="X45" s="138">
        <f t="shared" si="49"/>
        <v>0</v>
      </c>
      <c r="Y45" s="138">
        <f t="shared" si="49"/>
        <v>0</v>
      </c>
      <c r="Z45" s="138">
        <f t="shared" si="44"/>
        <v>73.010000000000005</v>
      </c>
    </row>
    <row r="46" spans="1:26" x14ac:dyDescent="0.4">
      <c r="E46" s="514"/>
      <c r="F46" s="116"/>
      <c r="L46" s="197">
        <v>10000</v>
      </c>
      <c r="M46" s="138">
        <f t="shared" si="45"/>
        <v>23.83</v>
      </c>
      <c r="N46" s="138">
        <f t="shared" si="46"/>
        <v>27.560000000000002</v>
      </c>
      <c r="O46" s="138">
        <f t="shared" si="46"/>
        <v>24.48</v>
      </c>
      <c r="P46" s="138">
        <f t="shared" si="46"/>
        <v>0</v>
      </c>
      <c r="Q46" s="138">
        <f t="shared" si="46"/>
        <v>0</v>
      </c>
      <c r="R46" s="138">
        <f t="shared" si="42"/>
        <v>75.87</v>
      </c>
      <c r="T46" s="197">
        <v>10000</v>
      </c>
      <c r="U46" s="138">
        <f t="shared" si="47"/>
        <v>27.33</v>
      </c>
      <c r="V46" s="138">
        <f t="shared" ref="V46:Y46" si="50">V35*V$30</f>
        <v>31.64</v>
      </c>
      <c r="W46" s="138">
        <f t="shared" si="50"/>
        <v>28.080000000000002</v>
      </c>
      <c r="X46" s="138">
        <f t="shared" si="50"/>
        <v>0</v>
      </c>
      <c r="Y46" s="138">
        <f t="shared" si="50"/>
        <v>0</v>
      </c>
      <c r="Z46" s="138">
        <f t="shared" si="44"/>
        <v>87.05</v>
      </c>
    </row>
    <row r="47" spans="1:26" x14ac:dyDescent="0.4">
      <c r="E47" s="514"/>
      <c r="F47" s="116"/>
      <c r="L47" s="197">
        <v>12000</v>
      </c>
      <c r="M47" s="138">
        <f t="shared" si="45"/>
        <v>23.83</v>
      </c>
      <c r="N47" s="138">
        <f t="shared" si="46"/>
        <v>27.560000000000002</v>
      </c>
      <c r="O47" s="138">
        <f t="shared" si="46"/>
        <v>36.720000000000006</v>
      </c>
      <c r="P47" s="138">
        <f t="shared" si="46"/>
        <v>0</v>
      </c>
      <c r="Q47" s="138">
        <f t="shared" si="46"/>
        <v>0</v>
      </c>
      <c r="R47" s="138">
        <f t="shared" si="42"/>
        <v>88.110000000000014</v>
      </c>
      <c r="T47" s="197">
        <v>12000</v>
      </c>
      <c r="U47" s="138">
        <f t="shared" si="47"/>
        <v>27.33</v>
      </c>
      <c r="V47" s="138">
        <f t="shared" ref="V47:Y47" si="51">V36*V$30</f>
        <v>31.64</v>
      </c>
      <c r="W47" s="138">
        <f t="shared" si="51"/>
        <v>42.120000000000005</v>
      </c>
      <c r="X47" s="138">
        <f t="shared" si="51"/>
        <v>0</v>
      </c>
      <c r="Y47" s="138">
        <f t="shared" si="51"/>
        <v>0</v>
      </c>
      <c r="Z47" s="138">
        <f t="shared" si="44"/>
        <v>101.09</v>
      </c>
    </row>
    <row r="48" spans="1:26" x14ac:dyDescent="0.4">
      <c r="E48" s="514"/>
      <c r="F48" s="116"/>
      <c r="L48" s="197">
        <v>14000</v>
      </c>
      <c r="M48" s="138">
        <f t="shared" si="45"/>
        <v>23.83</v>
      </c>
      <c r="N48" s="138">
        <f t="shared" si="46"/>
        <v>27.560000000000002</v>
      </c>
      <c r="O48" s="138">
        <f t="shared" si="46"/>
        <v>48.96</v>
      </c>
      <c r="P48" s="138">
        <f t="shared" si="46"/>
        <v>0</v>
      </c>
      <c r="Q48" s="138">
        <f t="shared" si="46"/>
        <v>0</v>
      </c>
      <c r="R48" s="138">
        <f t="shared" si="42"/>
        <v>100.35</v>
      </c>
      <c r="T48" s="197">
        <v>14000</v>
      </c>
      <c r="U48" s="138">
        <f t="shared" si="47"/>
        <v>27.33</v>
      </c>
      <c r="V48" s="138">
        <f t="shared" ref="V48:Y48" si="52">V37*V$30</f>
        <v>31.64</v>
      </c>
      <c r="W48" s="138">
        <f t="shared" si="52"/>
        <v>56.160000000000004</v>
      </c>
      <c r="X48" s="138">
        <f t="shared" si="52"/>
        <v>0</v>
      </c>
      <c r="Y48" s="138">
        <f t="shared" si="52"/>
        <v>0</v>
      </c>
      <c r="Z48" s="138">
        <f t="shared" si="44"/>
        <v>115.13</v>
      </c>
    </row>
    <row r="49" spans="1:26" x14ac:dyDescent="0.4">
      <c r="E49" s="514"/>
      <c r="F49" s="116"/>
      <c r="L49" s="197">
        <v>16000</v>
      </c>
      <c r="M49" s="138">
        <f t="shared" si="45"/>
        <v>23.83</v>
      </c>
      <c r="N49" s="138">
        <f t="shared" si="46"/>
        <v>27.560000000000002</v>
      </c>
      <c r="O49" s="138">
        <f t="shared" si="46"/>
        <v>61.2</v>
      </c>
      <c r="P49" s="138">
        <f t="shared" si="46"/>
        <v>0</v>
      </c>
      <c r="Q49" s="138">
        <f t="shared" si="46"/>
        <v>0</v>
      </c>
      <c r="R49" s="138">
        <f t="shared" si="42"/>
        <v>112.59</v>
      </c>
      <c r="T49" s="197">
        <v>16000</v>
      </c>
      <c r="U49" s="138">
        <f t="shared" si="47"/>
        <v>27.33</v>
      </c>
      <c r="V49" s="138">
        <f t="shared" ref="V49:Y49" si="53">V38*V$30</f>
        <v>31.64</v>
      </c>
      <c r="W49" s="138">
        <f t="shared" si="53"/>
        <v>70.2</v>
      </c>
      <c r="X49" s="138">
        <f t="shared" si="53"/>
        <v>0</v>
      </c>
      <c r="Y49" s="138">
        <f t="shared" si="53"/>
        <v>0</v>
      </c>
      <c r="Z49" s="138">
        <f t="shared" si="44"/>
        <v>129.17000000000002</v>
      </c>
    </row>
    <row r="50" spans="1:26" x14ac:dyDescent="0.4">
      <c r="E50" s="514"/>
      <c r="F50" s="116"/>
      <c r="L50" s="197">
        <v>18000</v>
      </c>
      <c r="M50" s="138">
        <f t="shared" si="45"/>
        <v>23.83</v>
      </c>
      <c r="N50" s="138">
        <f t="shared" si="46"/>
        <v>27.560000000000002</v>
      </c>
      <c r="O50" s="138">
        <f t="shared" si="46"/>
        <v>73.440000000000012</v>
      </c>
      <c r="P50" s="138">
        <f t="shared" si="46"/>
        <v>0</v>
      </c>
      <c r="Q50" s="138">
        <f t="shared" si="46"/>
        <v>0</v>
      </c>
      <c r="R50" s="138">
        <f t="shared" si="42"/>
        <v>124.83000000000001</v>
      </c>
      <c r="T50" s="197">
        <v>18000</v>
      </c>
      <c r="U50" s="138">
        <f t="shared" si="47"/>
        <v>27.33</v>
      </c>
      <c r="V50" s="138">
        <f t="shared" ref="V50:Y50" si="54">V39*V$30</f>
        <v>31.64</v>
      </c>
      <c r="W50" s="138">
        <f t="shared" si="54"/>
        <v>84.240000000000009</v>
      </c>
      <c r="X50" s="138">
        <f t="shared" si="54"/>
        <v>0</v>
      </c>
      <c r="Y50" s="138">
        <f t="shared" si="54"/>
        <v>0</v>
      </c>
      <c r="Z50" s="138">
        <f t="shared" si="44"/>
        <v>143.21</v>
      </c>
    </row>
    <row r="51" spans="1:26" x14ac:dyDescent="0.4">
      <c r="E51" s="514"/>
      <c r="F51" s="116"/>
      <c r="L51" s="197">
        <v>20000</v>
      </c>
      <c r="M51" s="138">
        <f t="shared" si="45"/>
        <v>23.83</v>
      </c>
      <c r="N51" s="138">
        <f t="shared" si="46"/>
        <v>27.560000000000002</v>
      </c>
      <c r="O51" s="138">
        <f t="shared" si="46"/>
        <v>85.68</v>
      </c>
      <c r="P51" s="138">
        <f t="shared" si="46"/>
        <v>0</v>
      </c>
      <c r="Q51" s="138">
        <f t="shared" si="46"/>
        <v>0</v>
      </c>
      <c r="R51" s="138">
        <f t="shared" si="42"/>
        <v>137.07</v>
      </c>
      <c r="T51" s="197">
        <v>20000</v>
      </c>
      <c r="U51" s="138">
        <f t="shared" si="47"/>
        <v>27.33</v>
      </c>
      <c r="V51" s="138">
        <f t="shared" ref="V51:Y51" si="55">V40*V$30</f>
        <v>31.64</v>
      </c>
      <c r="W51" s="138">
        <f t="shared" si="55"/>
        <v>98.28</v>
      </c>
      <c r="X51" s="138">
        <f t="shared" si="55"/>
        <v>0</v>
      </c>
      <c r="Y51" s="138">
        <f t="shared" si="55"/>
        <v>0</v>
      </c>
      <c r="Z51" s="138">
        <f t="shared" si="44"/>
        <v>157.25</v>
      </c>
    </row>
    <row r="52" spans="1:26" x14ac:dyDescent="0.4">
      <c r="E52" s="514"/>
      <c r="F52" s="116"/>
      <c r="M52" s="138"/>
      <c r="N52" s="138"/>
      <c r="O52" s="138"/>
      <c r="P52" s="138"/>
      <c r="Q52" s="138"/>
      <c r="R52" s="138"/>
      <c r="U52" s="138"/>
      <c r="V52" s="138"/>
      <c r="W52" s="138"/>
      <c r="X52" s="138"/>
      <c r="Y52" s="138"/>
      <c r="Z52" s="138"/>
    </row>
    <row r="57" spans="1:26" x14ac:dyDescent="0.4">
      <c r="C57" s="512"/>
      <c r="I57" s="513"/>
      <c r="L57" s="686" t="s">
        <v>660</v>
      </c>
      <c r="M57" s="686"/>
      <c r="N57" s="686"/>
      <c r="O57" s="686"/>
      <c r="P57" s="686"/>
      <c r="Q57" s="686"/>
      <c r="R57" s="686"/>
      <c r="T57" s="686" t="s">
        <v>660</v>
      </c>
      <c r="U57" s="686"/>
      <c r="V57" s="686"/>
      <c r="W57" s="686"/>
      <c r="X57" s="686"/>
      <c r="Y57" s="686"/>
      <c r="Z57" s="686"/>
    </row>
    <row r="58" spans="1:26" ht="15.75" x14ac:dyDescent="0.5">
      <c r="A58" s="116" t="s">
        <v>333</v>
      </c>
      <c r="B58" s="142"/>
      <c r="D58" s="403"/>
      <c r="E58" s="402"/>
      <c r="F58" s="29"/>
      <c r="H58" s="142"/>
      <c r="I58" s="116"/>
      <c r="J58" s="403"/>
      <c r="K58" s="116"/>
      <c r="M58" s="142">
        <v>2000</v>
      </c>
      <c r="N58" s="142">
        <v>4000</v>
      </c>
      <c r="O58" s="142">
        <v>44000</v>
      </c>
      <c r="P58" s="142">
        <v>50000</v>
      </c>
      <c r="Q58" s="142">
        <f>SUM(M58:P58)</f>
        <v>100000</v>
      </c>
      <c r="U58" s="142">
        <v>2000</v>
      </c>
      <c r="V58" s="142">
        <v>4000</v>
      </c>
      <c r="W58" s="142">
        <v>44000</v>
      </c>
      <c r="X58" s="142">
        <v>50000</v>
      </c>
      <c r="Y58" s="142">
        <f>SUM(U58:X58)</f>
        <v>100000</v>
      </c>
    </row>
    <row r="59" spans="1:26" ht="15.75" x14ac:dyDescent="0.5">
      <c r="A59" s="116" t="s">
        <v>51</v>
      </c>
      <c r="B59" s="142">
        <v>2000</v>
      </c>
      <c r="C59" s="116" t="s">
        <v>188</v>
      </c>
      <c r="D59" s="404" t="e">
        <f>#REF!</f>
        <v>#REF!</v>
      </c>
      <c r="E59" s="402" t="s">
        <v>241</v>
      </c>
      <c r="F59" s="29"/>
      <c r="G59" s="404" t="e">
        <f>#REF!</f>
        <v>#REF!</v>
      </c>
      <c r="H59" s="402" t="s">
        <v>241</v>
      </c>
      <c r="I59" s="116"/>
      <c r="M59" s="138" t="e">
        <f>D59</f>
        <v>#REF!</v>
      </c>
      <c r="N59" s="271" t="e">
        <f>D60</f>
        <v>#REF!</v>
      </c>
      <c r="O59" s="271" t="e">
        <f>D61</f>
        <v>#REF!</v>
      </c>
      <c r="P59" s="271" t="e">
        <f>D62</f>
        <v>#REF!</v>
      </c>
      <c r="Q59" s="271" t="e">
        <f>D63</f>
        <v>#REF!</v>
      </c>
      <c r="U59" s="138" t="e">
        <f>G59</f>
        <v>#REF!</v>
      </c>
      <c r="V59" s="271" t="e">
        <f>G60</f>
        <v>#REF!</v>
      </c>
      <c r="W59" s="271" t="e">
        <f>G61</f>
        <v>#REF!</v>
      </c>
      <c r="X59" s="271" t="e">
        <f>G62</f>
        <v>#REF!</v>
      </c>
      <c r="Y59" s="271" t="e">
        <f>G63</f>
        <v>#REF!</v>
      </c>
    </row>
    <row r="60" spans="1:26" ht="15.75" x14ac:dyDescent="0.5">
      <c r="A60" s="116" t="s">
        <v>52</v>
      </c>
      <c r="B60" s="142">
        <v>4000</v>
      </c>
      <c r="C60" s="116" t="s">
        <v>188</v>
      </c>
      <c r="D60" s="405" t="e">
        <f>#REF!</f>
        <v>#REF!</v>
      </c>
      <c r="E60" s="402" t="s">
        <v>240</v>
      </c>
      <c r="F60" s="29"/>
      <c r="G60" s="405" t="e">
        <f>#REF!</f>
        <v>#REF!</v>
      </c>
      <c r="H60" s="402" t="s">
        <v>240</v>
      </c>
      <c r="I60" s="116"/>
      <c r="L60" s="197">
        <v>2000</v>
      </c>
      <c r="M60" s="197">
        <v>2000</v>
      </c>
      <c r="N60" s="197">
        <f>L60-M60</f>
        <v>0</v>
      </c>
      <c r="T60" s="197">
        <v>2000</v>
      </c>
      <c r="U60" s="197">
        <f>M60</f>
        <v>2000</v>
      </c>
      <c r="V60" s="197">
        <f t="shared" ref="V60:Y69" si="56">N60</f>
        <v>0</v>
      </c>
      <c r="W60" s="197">
        <f t="shared" si="56"/>
        <v>0</v>
      </c>
      <c r="X60" s="197">
        <f t="shared" si="56"/>
        <v>0</v>
      </c>
      <c r="Y60" s="197">
        <f t="shared" si="56"/>
        <v>0</v>
      </c>
    </row>
    <row r="61" spans="1:26" ht="15.75" x14ac:dyDescent="0.5">
      <c r="A61" s="116" t="s">
        <v>52</v>
      </c>
      <c r="B61" s="142">
        <v>44000</v>
      </c>
      <c r="C61" s="116" t="s">
        <v>188</v>
      </c>
      <c r="D61" s="405" t="e">
        <f>#REF!</f>
        <v>#REF!</v>
      </c>
      <c r="E61" s="402" t="s">
        <v>240</v>
      </c>
      <c r="F61" s="29"/>
      <c r="G61" s="405" t="e">
        <f>#REF!</f>
        <v>#REF!</v>
      </c>
      <c r="H61" s="402" t="s">
        <v>240</v>
      </c>
      <c r="I61" s="116"/>
      <c r="L61" s="197">
        <v>4000</v>
      </c>
      <c r="M61" s="197">
        <v>2000</v>
      </c>
      <c r="N61" s="142">
        <f>L61-M61</f>
        <v>2000</v>
      </c>
      <c r="R61" s="197">
        <f>SUM(M61:Q61)</f>
        <v>4000</v>
      </c>
      <c r="T61" s="197">
        <v>4000</v>
      </c>
      <c r="U61" s="197">
        <f t="shared" ref="U61:U69" si="57">M61</f>
        <v>2000</v>
      </c>
      <c r="V61" s="197">
        <f t="shared" si="56"/>
        <v>2000</v>
      </c>
      <c r="W61" s="197">
        <f t="shared" si="56"/>
        <v>0</v>
      </c>
      <c r="X61" s="197">
        <f t="shared" si="56"/>
        <v>0</v>
      </c>
      <c r="Y61" s="197">
        <f t="shared" si="56"/>
        <v>0</v>
      </c>
      <c r="Z61" s="197">
        <f>SUM(U61:Y61)</f>
        <v>4000</v>
      </c>
    </row>
    <row r="62" spans="1:26" ht="15.75" x14ac:dyDescent="0.5">
      <c r="A62" s="116" t="s">
        <v>52</v>
      </c>
      <c r="B62" s="142">
        <v>50000</v>
      </c>
      <c r="C62" s="116" t="s">
        <v>188</v>
      </c>
      <c r="D62" s="405" t="e">
        <f>#REF!</f>
        <v>#REF!</v>
      </c>
      <c r="E62" s="402" t="s">
        <v>240</v>
      </c>
      <c r="F62" s="29"/>
      <c r="G62" s="405" t="e">
        <f>#REF!</f>
        <v>#REF!</v>
      </c>
      <c r="H62" s="402" t="s">
        <v>240</v>
      </c>
      <c r="I62" s="116"/>
      <c r="L62" s="197">
        <v>6000</v>
      </c>
      <c r="M62" s="197">
        <v>2000</v>
      </c>
      <c r="N62" s="142">
        <f t="shared" ref="N62" si="58">L62-M62</f>
        <v>4000</v>
      </c>
      <c r="O62" s="197">
        <f>L62-M62-N62</f>
        <v>0</v>
      </c>
      <c r="R62" s="197">
        <f t="shared" ref="R62:R69" si="59">SUM(M62:Q62)</f>
        <v>6000</v>
      </c>
      <c r="T62" s="197">
        <v>6000</v>
      </c>
      <c r="U62" s="197">
        <f t="shared" si="57"/>
        <v>2000</v>
      </c>
      <c r="V62" s="197">
        <f t="shared" si="56"/>
        <v>4000</v>
      </c>
      <c r="W62" s="197">
        <f t="shared" si="56"/>
        <v>0</v>
      </c>
      <c r="X62" s="197">
        <f t="shared" si="56"/>
        <v>0</v>
      </c>
      <c r="Y62" s="197">
        <f t="shared" si="56"/>
        <v>0</v>
      </c>
      <c r="Z62" s="197">
        <f t="shared" ref="Z62:Z69" si="60">SUM(U62:Y62)</f>
        <v>6000</v>
      </c>
    </row>
    <row r="63" spans="1:26" ht="15.75" x14ac:dyDescent="0.5">
      <c r="A63" s="116" t="s">
        <v>114</v>
      </c>
      <c r="B63" s="142">
        <f>SUM(B59:B62)</f>
        <v>100000</v>
      </c>
      <c r="C63" s="116" t="s">
        <v>188</v>
      </c>
      <c r="D63" s="405" t="e">
        <f>#REF!</f>
        <v>#REF!</v>
      </c>
      <c r="E63" s="402" t="s">
        <v>240</v>
      </c>
      <c r="F63" s="29"/>
      <c r="G63" s="405" t="e">
        <f>#REF!</f>
        <v>#REF!</v>
      </c>
      <c r="H63" s="402" t="s">
        <v>240</v>
      </c>
      <c r="I63" s="116"/>
      <c r="L63" s="197">
        <v>8000</v>
      </c>
      <c r="M63" s="197">
        <v>2000</v>
      </c>
      <c r="N63" s="142">
        <v>4000</v>
      </c>
      <c r="O63" s="197">
        <f>L63-M63-N63</f>
        <v>2000</v>
      </c>
      <c r="R63" s="197">
        <f t="shared" si="59"/>
        <v>8000</v>
      </c>
      <c r="T63" s="197">
        <v>8000</v>
      </c>
      <c r="U63" s="197">
        <f t="shared" si="57"/>
        <v>2000</v>
      </c>
      <c r="V63" s="197">
        <f t="shared" si="56"/>
        <v>4000</v>
      </c>
      <c r="W63" s="197">
        <f t="shared" si="56"/>
        <v>2000</v>
      </c>
      <c r="X63" s="197">
        <f t="shared" si="56"/>
        <v>0</v>
      </c>
      <c r="Y63" s="197">
        <f t="shared" si="56"/>
        <v>0</v>
      </c>
      <c r="Z63" s="197">
        <f t="shared" si="60"/>
        <v>8000</v>
      </c>
    </row>
    <row r="64" spans="1:26" x14ac:dyDescent="0.4">
      <c r="E64" s="514"/>
      <c r="F64" s="116"/>
      <c r="L64" s="197">
        <v>10000</v>
      </c>
      <c r="M64" s="197">
        <v>2000</v>
      </c>
      <c r="N64" s="142">
        <v>4000</v>
      </c>
      <c r="O64" s="197">
        <f>L64-M64-N64</f>
        <v>4000</v>
      </c>
      <c r="R64" s="197">
        <f t="shared" si="59"/>
        <v>10000</v>
      </c>
      <c r="T64" s="197">
        <v>10000</v>
      </c>
      <c r="U64" s="197">
        <f t="shared" si="57"/>
        <v>2000</v>
      </c>
      <c r="V64" s="197">
        <f t="shared" si="56"/>
        <v>4000</v>
      </c>
      <c r="W64" s="197">
        <f t="shared" si="56"/>
        <v>4000</v>
      </c>
      <c r="X64" s="197">
        <f t="shared" si="56"/>
        <v>0</v>
      </c>
      <c r="Y64" s="197">
        <f t="shared" si="56"/>
        <v>0</v>
      </c>
      <c r="Z64" s="197">
        <f t="shared" si="60"/>
        <v>10000</v>
      </c>
    </row>
    <row r="65" spans="5:26" x14ac:dyDescent="0.4">
      <c r="E65" s="514"/>
      <c r="F65" s="116"/>
      <c r="L65" s="197">
        <v>12000</v>
      </c>
      <c r="M65" s="197">
        <v>2000</v>
      </c>
      <c r="N65" s="142">
        <v>4000</v>
      </c>
      <c r="O65" s="197">
        <f>L65-M65-N65</f>
        <v>6000</v>
      </c>
      <c r="P65" s="197">
        <f>L65-M65-N65-O65</f>
        <v>0</v>
      </c>
      <c r="R65" s="197">
        <f t="shared" si="59"/>
        <v>12000</v>
      </c>
      <c r="T65" s="197">
        <v>12000</v>
      </c>
      <c r="U65" s="197">
        <f t="shared" si="57"/>
        <v>2000</v>
      </c>
      <c r="V65" s="197">
        <f t="shared" si="56"/>
        <v>4000</v>
      </c>
      <c r="W65" s="197">
        <f t="shared" si="56"/>
        <v>6000</v>
      </c>
      <c r="X65" s="197">
        <f t="shared" si="56"/>
        <v>0</v>
      </c>
      <c r="Y65" s="197">
        <f t="shared" si="56"/>
        <v>0</v>
      </c>
      <c r="Z65" s="197">
        <f t="shared" si="60"/>
        <v>12000</v>
      </c>
    </row>
    <row r="66" spans="5:26" x14ac:dyDescent="0.4">
      <c r="E66" s="514"/>
      <c r="F66" s="116"/>
      <c r="L66" s="197">
        <v>14000</v>
      </c>
      <c r="M66" s="197">
        <v>2000</v>
      </c>
      <c r="N66" s="142">
        <v>4000</v>
      </c>
      <c r="O66" s="197">
        <f t="shared" ref="O66:O69" si="61">L66-M66-N66</f>
        <v>8000</v>
      </c>
      <c r="P66" s="197">
        <f>L66-M66-N66-O66</f>
        <v>0</v>
      </c>
      <c r="R66" s="197">
        <f t="shared" si="59"/>
        <v>14000</v>
      </c>
      <c r="T66" s="197">
        <v>14000</v>
      </c>
      <c r="U66" s="197">
        <f t="shared" si="57"/>
        <v>2000</v>
      </c>
      <c r="V66" s="197">
        <f t="shared" si="56"/>
        <v>4000</v>
      </c>
      <c r="W66" s="197">
        <f t="shared" si="56"/>
        <v>8000</v>
      </c>
      <c r="X66" s="197">
        <f t="shared" si="56"/>
        <v>0</v>
      </c>
      <c r="Y66" s="197">
        <f t="shared" si="56"/>
        <v>0</v>
      </c>
      <c r="Z66" s="197">
        <f t="shared" si="60"/>
        <v>14000</v>
      </c>
    </row>
    <row r="67" spans="5:26" x14ac:dyDescent="0.4">
      <c r="E67" s="514"/>
      <c r="F67" s="116"/>
      <c r="L67" s="197">
        <v>16000</v>
      </c>
      <c r="M67" s="197">
        <v>2000</v>
      </c>
      <c r="N67" s="142">
        <v>4000</v>
      </c>
      <c r="O67" s="197">
        <f t="shared" si="61"/>
        <v>10000</v>
      </c>
      <c r="P67" s="197">
        <f>L67-M67-N67-O67</f>
        <v>0</v>
      </c>
      <c r="R67" s="197">
        <f t="shared" si="59"/>
        <v>16000</v>
      </c>
      <c r="T67" s="197">
        <v>16000</v>
      </c>
      <c r="U67" s="197">
        <f t="shared" si="57"/>
        <v>2000</v>
      </c>
      <c r="V67" s="197">
        <f t="shared" si="56"/>
        <v>4000</v>
      </c>
      <c r="W67" s="197">
        <f t="shared" si="56"/>
        <v>10000</v>
      </c>
      <c r="X67" s="197">
        <f t="shared" si="56"/>
        <v>0</v>
      </c>
      <c r="Y67" s="197">
        <f t="shared" si="56"/>
        <v>0</v>
      </c>
      <c r="Z67" s="197">
        <f t="shared" si="60"/>
        <v>16000</v>
      </c>
    </row>
    <row r="68" spans="5:26" x14ac:dyDescent="0.4">
      <c r="E68" s="514"/>
      <c r="F68" s="116"/>
      <c r="L68" s="197">
        <v>18000</v>
      </c>
      <c r="M68" s="197">
        <v>2000</v>
      </c>
      <c r="N68" s="142">
        <v>4000</v>
      </c>
      <c r="O68" s="197">
        <f t="shared" si="61"/>
        <v>12000</v>
      </c>
      <c r="P68" s="197">
        <f t="shared" ref="P68:P69" si="62">L68-M68-N68-O68</f>
        <v>0</v>
      </c>
      <c r="Q68" s="197">
        <f>L68-M68-N68-O68-P68</f>
        <v>0</v>
      </c>
      <c r="R68" s="197">
        <f t="shared" si="59"/>
        <v>18000</v>
      </c>
      <c r="T68" s="197">
        <v>18000</v>
      </c>
      <c r="U68" s="197">
        <f t="shared" si="57"/>
        <v>2000</v>
      </c>
      <c r="V68" s="197">
        <f t="shared" si="56"/>
        <v>4000</v>
      </c>
      <c r="W68" s="197">
        <f t="shared" si="56"/>
        <v>12000</v>
      </c>
      <c r="X68" s="197">
        <f t="shared" si="56"/>
        <v>0</v>
      </c>
      <c r="Y68" s="197">
        <f t="shared" si="56"/>
        <v>0</v>
      </c>
      <c r="Z68" s="197">
        <f t="shared" si="60"/>
        <v>18000</v>
      </c>
    </row>
    <row r="69" spans="5:26" x14ac:dyDescent="0.4">
      <c r="E69" s="514"/>
      <c r="F69" s="116"/>
      <c r="L69" s="197">
        <v>20000</v>
      </c>
      <c r="M69" s="197">
        <v>2000</v>
      </c>
      <c r="N69" s="142">
        <v>4000</v>
      </c>
      <c r="O69" s="197">
        <f t="shared" si="61"/>
        <v>14000</v>
      </c>
      <c r="P69" s="197">
        <f t="shared" si="62"/>
        <v>0</v>
      </c>
      <c r="Q69" s="197">
        <f>+L69-M69-N69-O69-P69</f>
        <v>0</v>
      </c>
      <c r="R69" s="197">
        <f t="shared" si="59"/>
        <v>20000</v>
      </c>
      <c r="T69" s="197">
        <v>20000</v>
      </c>
      <c r="U69" s="197">
        <f t="shared" si="57"/>
        <v>2000</v>
      </c>
      <c r="V69" s="197">
        <f t="shared" si="56"/>
        <v>4000</v>
      </c>
      <c r="W69" s="197">
        <f t="shared" si="56"/>
        <v>14000</v>
      </c>
      <c r="X69" s="197">
        <f t="shared" si="56"/>
        <v>0</v>
      </c>
      <c r="Y69" s="197">
        <f t="shared" si="56"/>
        <v>0</v>
      </c>
      <c r="Z69" s="197">
        <f t="shared" si="60"/>
        <v>20000</v>
      </c>
    </row>
    <row r="70" spans="5:26" x14ac:dyDescent="0.4">
      <c r="E70" s="514"/>
      <c r="F70" s="116"/>
    </row>
    <row r="71" spans="5:26" x14ac:dyDescent="0.4">
      <c r="E71" s="514"/>
      <c r="F71" s="116"/>
      <c r="L71" s="197">
        <v>2000</v>
      </c>
      <c r="M71" s="138" t="e">
        <f>M59</f>
        <v>#REF!</v>
      </c>
      <c r="N71" s="138"/>
      <c r="O71" s="138"/>
      <c r="P71" s="138"/>
      <c r="Q71" s="138"/>
      <c r="R71" s="138" t="e">
        <f>SUM(M71:Q71)</f>
        <v>#REF!</v>
      </c>
      <c r="T71" s="197">
        <v>2000</v>
      </c>
      <c r="U71" s="138" t="e">
        <f>U59</f>
        <v>#REF!</v>
      </c>
      <c r="V71" s="138"/>
      <c r="W71" s="138"/>
      <c r="X71" s="138"/>
      <c r="Y71" s="138"/>
      <c r="Z71" s="138" t="e">
        <f>SUM(U71:Y71)</f>
        <v>#REF!</v>
      </c>
    </row>
    <row r="72" spans="5:26" x14ac:dyDescent="0.4">
      <c r="E72" s="514"/>
      <c r="F72" s="116"/>
      <c r="L72" s="197">
        <v>4000</v>
      </c>
      <c r="M72" s="138" t="e">
        <f>M71</f>
        <v>#REF!</v>
      </c>
      <c r="N72" s="138" t="e">
        <f>N61*N$59</f>
        <v>#REF!</v>
      </c>
      <c r="O72" s="138"/>
      <c r="P72" s="138"/>
      <c r="Q72" s="138"/>
      <c r="R72" s="138" t="e">
        <f t="shared" ref="R72:R80" si="63">SUM(M72:Q72)</f>
        <v>#REF!</v>
      </c>
      <c r="T72" s="197">
        <v>4000</v>
      </c>
      <c r="U72" s="138" t="e">
        <f>U71</f>
        <v>#REF!</v>
      </c>
      <c r="V72" s="138" t="e">
        <f>V61*V$59</f>
        <v>#REF!</v>
      </c>
      <c r="W72" s="138"/>
      <c r="X72" s="138"/>
      <c r="Y72" s="138"/>
      <c r="Z72" s="138" t="e">
        <f t="shared" ref="Z72:Z80" si="64">SUM(U72:Y72)</f>
        <v>#REF!</v>
      </c>
    </row>
    <row r="73" spans="5:26" x14ac:dyDescent="0.4">
      <c r="E73" s="514"/>
      <c r="F73" s="116"/>
      <c r="L73" s="197">
        <v>6000</v>
      </c>
      <c r="M73" s="138" t="e">
        <f t="shared" ref="M73:M80" si="65">M72</f>
        <v>#REF!</v>
      </c>
      <c r="N73" s="138" t="e">
        <f t="shared" ref="N73:Q80" si="66">N62*N$59</f>
        <v>#REF!</v>
      </c>
      <c r="O73" s="138" t="e">
        <f t="shared" si="66"/>
        <v>#REF!</v>
      </c>
      <c r="P73" s="138"/>
      <c r="Q73" s="138"/>
      <c r="R73" s="138" t="e">
        <f t="shared" si="63"/>
        <v>#REF!</v>
      </c>
      <c r="T73" s="197">
        <v>6000</v>
      </c>
      <c r="U73" s="138" t="e">
        <f t="shared" ref="U73:U80" si="67">U72</f>
        <v>#REF!</v>
      </c>
      <c r="V73" s="138" t="e">
        <f t="shared" ref="V73:Y80" si="68">V62*V$59</f>
        <v>#REF!</v>
      </c>
      <c r="W73" s="138" t="e">
        <f t="shared" si="68"/>
        <v>#REF!</v>
      </c>
      <c r="X73" s="138"/>
      <c r="Y73" s="138"/>
      <c r="Z73" s="138" t="e">
        <f t="shared" si="64"/>
        <v>#REF!</v>
      </c>
    </row>
    <row r="74" spans="5:26" x14ac:dyDescent="0.4">
      <c r="E74" s="514"/>
      <c r="F74" s="116"/>
      <c r="L74" s="197">
        <v>8000</v>
      </c>
      <c r="M74" s="138" t="e">
        <f t="shared" si="65"/>
        <v>#REF!</v>
      </c>
      <c r="N74" s="138" t="e">
        <f t="shared" si="66"/>
        <v>#REF!</v>
      </c>
      <c r="O74" s="138" t="e">
        <f t="shared" si="66"/>
        <v>#REF!</v>
      </c>
      <c r="P74" s="138"/>
      <c r="Q74" s="138"/>
      <c r="R74" s="138" t="e">
        <f t="shared" si="63"/>
        <v>#REF!</v>
      </c>
      <c r="T74" s="197">
        <v>8000</v>
      </c>
      <c r="U74" s="138" t="e">
        <f t="shared" si="67"/>
        <v>#REF!</v>
      </c>
      <c r="V74" s="138" t="e">
        <f t="shared" si="68"/>
        <v>#REF!</v>
      </c>
      <c r="W74" s="138" t="e">
        <f t="shared" si="68"/>
        <v>#REF!</v>
      </c>
      <c r="X74" s="138"/>
      <c r="Y74" s="138"/>
      <c r="Z74" s="138" t="e">
        <f t="shared" si="64"/>
        <v>#REF!</v>
      </c>
    </row>
    <row r="75" spans="5:26" x14ac:dyDescent="0.4">
      <c r="E75" s="514"/>
      <c r="F75" s="116"/>
      <c r="L75" s="197">
        <v>10000</v>
      </c>
      <c r="M75" s="138" t="e">
        <f t="shared" si="65"/>
        <v>#REF!</v>
      </c>
      <c r="N75" s="138" t="e">
        <f t="shared" si="66"/>
        <v>#REF!</v>
      </c>
      <c r="O75" s="138" t="e">
        <f t="shared" si="66"/>
        <v>#REF!</v>
      </c>
      <c r="P75" s="138"/>
      <c r="Q75" s="138"/>
      <c r="R75" s="138" t="e">
        <f t="shared" si="63"/>
        <v>#REF!</v>
      </c>
      <c r="T75" s="197">
        <v>10000</v>
      </c>
      <c r="U75" s="138" t="e">
        <f t="shared" si="67"/>
        <v>#REF!</v>
      </c>
      <c r="V75" s="138" t="e">
        <f t="shared" si="68"/>
        <v>#REF!</v>
      </c>
      <c r="W75" s="138" t="e">
        <f t="shared" si="68"/>
        <v>#REF!</v>
      </c>
      <c r="X75" s="138"/>
      <c r="Y75" s="138"/>
      <c r="Z75" s="138" t="e">
        <f t="shared" si="64"/>
        <v>#REF!</v>
      </c>
    </row>
    <row r="76" spans="5:26" x14ac:dyDescent="0.4">
      <c r="E76" s="514"/>
      <c r="F76" s="116"/>
      <c r="L76" s="197">
        <v>12000</v>
      </c>
      <c r="M76" s="138" t="e">
        <f t="shared" si="65"/>
        <v>#REF!</v>
      </c>
      <c r="N76" s="138" t="e">
        <f t="shared" si="66"/>
        <v>#REF!</v>
      </c>
      <c r="O76" s="138" t="e">
        <f t="shared" si="66"/>
        <v>#REF!</v>
      </c>
      <c r="P76" s="138" t="e">
        <f t="shared" si="66"/>
        <v>#REF!</v>
      </c>
      <c r="Q76" s="138"/>
      <c r="R76" s="138" t="e">
        <f t="shared" si="63"/>
        <v>#REF!</v>
      </c>
      <c r="T76" s="197">
        <v>12000</v>
      </c>
      <c r="U76" s="138" t="e">
        <f t="shared" si="67"/>
        <v>#REF!</v>
      </c>
      <c r="V76" s="138" t="e">
        <f t="shared" si="68"/>
        <v>#REF!</v>
      </c>
      <c r="W76" s="138" t="e">
        <f t="shared" si="68"/>
        <v>#REF!</v>
      </c>
      <c r="X76" s="138" t="e">
        <f t="shared" si="68"/>
        <v>#REF!</v>
      </c>
      <c r="Y76" s="138"/>
      <c r="Z76" s="138" t="e">
        <f t="shared" si="64"/>
        <v>#REF!</v>
      </c>
    </row>
    <row r="77" spans="5:26" x14ac:dyDescent="0.4">
      <c r="E77" s="514"/>
      <c r="F77" s="116"/>
      <c r="L77" s="197">
        <v>14000</v>
      </c>
      <c r="M77" s="138" t="e">
        <f t="shared" si="65"/>
        <v>#REF!</v>
      </c>
      <c r="N77" s="138" t="e">
        <f t="shared" si="66"/>
        <v>#REF!</v>
      </c>
      <c r="O77" s="138" t="e">
        <f t="shared" si="66"/>
        <v>#REF!</v>
      </c>
      <c r="P77" s="138" t="e">
        <f t="shared" si="66"/>
        <v>#REF!</v>
      </c>
      <c r="Q77" s="138"/>
      <c r="R77" s="138" t="e">
        <f t="shared" si="63"/>
        <v>#REF!</v>
      </c>
      <c r="T77" s="197">
        <v>14000</v>
      </c>
      <c r="U77" s="138" t="e">
        <f t="shared" si="67"/>
        <v>#REF!</v>
      </c>
      <c r="V77" s="138" t="e">
        <f t="shared" si="68"/>
        <v>#REF!</v>
      </c>
      <c r="W77" s="138" t="e">
        <f t="shared" si="68"/>
        <v>#REF!</v>
      </c>
      <c r="X77" s="138" t="e">
        <f t="shared" si="68"/>
        <v>#REF!</v>
      </c>
      <c r="Y77" s="138"/>
      <c r="Z77" s="138" t="e">
        <f t="shared" si="64"/>
        <v>#REF!</v>
      </c>
    </row>
    <row r="78" spans="5:26" x14ac:dyDescent="0.4">
      <c r="E78" s="514"/>
      <c r="F78" s="116"/>
      <c r="L78" s="197">
        <v>16000</v>
      </c>
      <c r="M78" s="138" t="e">
        <f t="shared" si="65"/>
        <v>#REF!</v>
      </c>
      <c r="N78" s="138" t="e">
        <f t="shared" si="66"/>
        <v>#REF!</v>
      </c>
      <c r="O78" s="138" t="e">
        <f t="shared" si="66"/>
        <v>#REF!</v>
      </c>
      <c r="P78" s="138" t="e">
        <f t="shared" si="66"/>
        <v>#REF!</v>
      </c>
      <c r="Q78" s="138"/>
      <c r="R78" s="138" t="e">
        <f t="shared" si="63"/>
        <v>#REF!</v>
      </c>
      <c r="T78" s="197">
        <v>16000</v>
      </c>
      <c r="U78" s="138" t="e">
        <f t="shared" si="67"/>
        <v>#REF!</v>
      </c>
      <c r="V78" s="138" t="e">
        <f t="shared" si="68"/>
        <v>#REF!</v>
      </c>
      <c r="W78" s="138" t="e">
        <f t="shared" si="68"/>
        <v>#REF!</v>
      </c>
      <c r="X78" s="138" t="e">
        <f t="shared" si="68"/>
        <v>#REF!</v>
      </c>
      <c r="Y78" s="138"/>
      <c r="Z78" s="138" t="e">
        <f t="shared" si="64"/>
        <v>#REF!</v>
      </c>
    </row>
    <row r="79" spans="5:26" x14ac:dyDescent="0.4">
      <c r="E79" s="514"/>
      <c r="F79" s="116"/>
      <c r="L79" s="197">
        <v>18000</v>
      </c>
      <c r="M79" s="138" t="e">
        <f t="shared" si="65"/>
        <v>#REF!</v>
      </c>
      <c r="N79" s="138" t="e">
        <f t="shared" si="66"/>
        <v>#REF!</v>
      </c>
      <c r="O79" s="138" t="e">
        <f t="shared" si="66"/>
        <v>#REF!</v>
      </c>
      <c r="P79" s="138" t="e">
        <f t="shared" si="66"/>
        <v>#REF!</v>
      </c>
      <c r="Q79" s="138" t="e">
        <f t="shared" si="66"/>
        <v>#REF!</v>
      </c>
      <c r="R79" s="138" t="e">
        <f t="shared" si="63"/>
        <v>#REF!</v>
      </c>
      <c r="T79" s="197">
        <v>18000</v>
      </c>
      <c r="U79" s="138" t="e">
        <f t="shared" si="67"/>
        <v>#REF!</v>
      </c>
      <c r="V79" s="138" t="e">
        <f t="shared" si="68"/>
        <v>#REF!</v>
      </c>
      <c r="W79" s="138" t="e">
        <f t="shared" si="68"/>
        <v>#REF!</v>
      </c>
      <c r="X79" s="138" t="e">
        <f t="shared" si="68"/>
        <v>#REF!</v>
      </c>
      <c r="Y79" s="138" t="e">
        <f t="shared" si="68"/>
        <v>#REF!</v>
      </c>
      <c r="Z79" s="138" t="e">
        <f t="shared" si="64"/>
        <v>#REF!</v>
      </c>
    </row>
    <row r="80" spans="5:26" x14ac:dyDescent="0.4">
      <c r="E80" s="514"/>
      <c r="F80" s="116"/>
      <c r="L80" s="197">
        <v>20000</v>
      </c>
      <c r="M80" s="138" t="e">
        <f t="shared" si="65"/>
        <v>#REF!</v>
      </c>
      <c r="N80" s="138" t="e">
        <f t="shared" si="66"/>
        <v>#REF!</v>
      </c>
      <c r="O80" s="138" t="e">
        <f t="shared" si="66"/>
        <v>#REF!</v>
      </c>
      <c r="P80" s="138" t="e">
        <f t="shared" si="66"/>
        <v>#REF!</v>
      </c>
      <c r="Q80" s="138" t="e">
        <f t="shared" si="66"/>
        <v>#REF!</v>
      </c>
      <c r="R80" s="138" t="e">
        <f t="shared" si="63"/>
        <v>#REF!</v>
      </c>
      <c r="T80" s="197">
        <v>20000</v>
      </c>
      <c r="U80" s="138" t="e">
        <f t="shared" si="67"/>
        <v>#REF!</v>
      </c>
      <c r="V80" s="138" t="e">
        <f t="shared" si="68"/>
        <v>#REF!</v>
      </c>
      <c r="W80" s="138" t="e">
        <f t="shared" si="68"/>
        <v>#REF!</v>
      </c>
      <c r="X80" s="138" t="e">
        <f t="shared" si="68"/>
        <v>#REF!</v>
      </c>
      <c r="Y80" s="138" t="e">
        <f t="shared" si="68"/>
        <v>#REF!</v>
      </c>
      <c r="Z80" s="138" t="e">
        <f t="shared" si="64"/>
        <v>#REF!</v>
      </c>
    </row>
    <row r="81" spans="5:6" x14ac:dyDescent="0.4">
      <c r="E81" s="514"/>
      <c r="F81" s="116"/>
    </row>
    <row r="82" spans="5:6" x14ac:dyDescent="0.4">
      <c r="E82" s="514"/>
      <c r="F82" s="116"/>
    </row>
  </sheetData>
  <mergeCells count="12">
    <mergeCell ref="L57:R57"/>
    <mergeCell ref="T57:Z57"/>
    <mergeCell ref="L2:R2"/>
    <mergeCell ref="T2:Z2"/>
    <mergeCell ref="L28:R28"/>
    <mergeCell ref="T28:Z28"/>
    <mergeCell ref="D29:E29"/>
    <mergeCell ref="G29:I29"/>
    <mergeCell ref="A1:Z1"/>
    <mergeCell ref="D3:E3"/>
    <mergeCell ref="G3:I3"/>
    <mergeCell ref="A27:Z2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023E-CE04-4E22-A4D0-E2545780CEF8}">
  <dimension ref="A1:Z88"/>
  <sheetViews>
    <sheetView topLeftCell="E1" workbookViewId="0">
      <selection activeCell="L2" sqref="L2:R2"/>
    </sheetView>
  </sheetViews>
  <sheetFormatPr defaultRowHeight="15" x14ac:dyDescent="0.4"/>
  <cols>
    <col min="3" max="3" width="7.4414062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11.44140625" style="197" bestFit="1" customWidth="1"/>
    <col min="12" max="14" width="10.44140625" style="197" bestFit="1" customWidth="1"/>
    <col min="15" max="16" width="11.44140625" style="197" bestFit="1" customWidth="1"/>
    <col min="19" max="19" width="11.44140625" style="197" bestFit="1" customWidth="1"/>
    <col min="20" max="22" width="10.44140625" style="197" bestFit="1" customWidth="1"/>
    <col min="23" max="24" width="11.44140625" style="197" bestFit="1" customWidth="1"/>
  </cols>
  <sheetData>
    <row r="1" spans="1:26" ht="20.65" x14ac:dyDescent="0.6">
      <c r="A1" s="685" t="s">
        <v>689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</row>
    <row r="2" spans="1:26" x14ac:dyDescent="0.4">
      <c r="C2" s="512"/>
      <c r="I2" s="513"/>
      <c r="K2" s="486"/>
      <c r="L2" s="686" t="s">
        <v>660</v>
      </c>
      <c r="M2" s="686"/>
      <c r="N2" s="686"/>
      <c r="O2" s="686"/>
      <c r="P2" s="686"/>
      <c r="Q2" s="686"/>
      <c r="R2" s="686"/>
      <c r="S2"/>
      <c r="T2" s="686" t="s">
        <v>700</v>
      </c>
      <c r="U2" s="686"/>
      <c r="V2" s="686"/>
      <c r="W2" s="686"/>
      <c r="X2" s="686"/>
      <c r="Y2" s="686"/>
      <c r="Z2" s="686"/>
    </row>
    <row r="3" spans="1:26" ht="15.75" x14ac:dyDescent="0.5">
      <c r="A3" s="116" t="s">
        <v>334</v>
      </c>
      <c r="B3" s="142"/>
      <c r="D3" s="684" t="s">
        <v>660</v>
      </c>
      <c r="E3" s="684"/>
      <c r="F3" s="14"/>
      <c r="G3" s="657" t="s">
        <v>696</v>
      </c>
      <c r="H3" s="657"/>
      <c r="I3" s="657"/>
      <c r="J3" s="403"/>
      <c r="L3" s="142">
        <v>5000</v>
      </c>
      <c r="M3" s="142">
        <v>1000</v>
      </c>
      <c r="N3" s="142">
        <v>44000</v>
      </c>
      <c r="O3" s="142">
        <v>50000</v>
      </c>
      <c r="P3" s="142">
        <f>SUM(L3:O3)</f>
        <v>100000</v>
      </c>
      <c r="T3" s="142">
        <v>5000</v>
      </c>
      <c r="U3" s="142">
        <v>1000</v>
      </c>
      <c r="V3" s="142">
        <v>44000</v>
      </c>
      <c r="W3" s="142">
        <v>50000</v>
      </c>
      <c r="X3" s="142">
        <f>SUM(T3:W3)</f>
        <v>100000</v>
      </c>
    </row>
    <row r="4" spans="1:26" ht="15.75" x14ac:dyDescent="0.5">
      <c r="A4" s="116" t="s">
        <v>51</v>
      </c>
      <c r="B4" s="142">
        <v>5000</v>
      </c>
      <c r="C4" s="116" t="s">
        <v>188</v>
      </c>
      <c r="D4" s="404">
        <f>'Table C'!F16</f>
        <v>38.68</v>
      </c>
      <c r="E4" s="402" t="s">
        <v>241</v>
      </c>
      <c r="F4" s="29"/>
      <c r="G4" s="404">
        <f>'Table C'!I16</f>
        <v>45.25</v>
      </c>
      <c r="H4" s="402" t="s">
        <v>241</v>
      </c>
      <c r="I4" s="116"/>
      <c r="L4" s="404">
        <f>D4</f>
        <v>38.68</v>
      </c>
      <c r="M4" s="405">
        <f>D5</f>
        <v>5.8999999999999999E-3</v>
      </c>
      <c r="N4" s="405">
        <f>D6</f>
        <v>5.2399999999999999E-3</v>
      </c>
      <c r="O4" s="405">
        <f>D7</f>
        <v>4.5100000000000001E-3</v>
      </c>
      <c r="P4" s="405">
        <f>D8</f>
        <v>3.7599999999999999E-3</v>
      </c>
      <c r="T4" s="404">
        <f>G4</f>
        <v>45.25</v>
      </c>
      <c r="U4" s="405">
        <f>G5</f>
        <v>6.8900000000000003E-3</v>
      </c>
      <c r="V4" s="405">
        <f>G6</f>
        <v>6.1200000000000004E-3</v>
      </c>
      <c r="W4" s="405">
        <f>G7</f>
        <v>5.2700000000000004E-3</v>
      </c>
      <c r="X4" s="405">
        <f>G8</f>
        <v>4.3900000000000007E-3</v>
      </c>
    </row>
    <row r="5" spans="1:26" ht="15.75" x14ac:dyDescent="0.5">
      <c r="A5" s="116" t="s">
        <v>52</v>
      </c>
      <c r="B5" s="142">
        <v>1000</v>
      </c>
      <c r="C5" s="116" t="s">
        <v>188</v>
      </c>
      <c r="D5" s="405">
        <f>'Table C'!F17</f>
        <v>5.8999999999999999E-3</v>
      </c>
      <c r="E5" s="402" t="s">
        <v>240</v>
      </c>
      <c r="F5" s="29"/>
      <c r="G5" s="405">
        <f>'Table C'!I17</f>
        <v>6.8900000000000003E-3</v>
      </c>
      <c r="H5" s="402" t="s">
        <v>240</v>
      </c>
      <c r="I5" s="116"/>
      <c r="K5" s="197">
        <v>2000</v>
      </c>
      <c r="L5" s="197">
        <v>2000</v>
      </c>
      <c r="S5" s="197">
        <v>2000</v>
      </c>
      <c r="T5" s="197">
        <f>L5</f>
        <v>2000</v>
      </c>
      <c r="U5" s="197">
        <f t="shared" ref="U5:U14" si="0">M5</f>
        <v>0</v>
      </c>
      <c r="V5" s="197">
        <f t="shared" ref="V5:V14" si="1">N5</f>
        <v>0</v>
      </c>
      <c r="W5" s="197">
        <f t="shared" ref="W5:W14" si="2">O5</f>
        <v>0</v>
      </c>
      <c r="X5" s="197">
        <f t="shared" ref="X5:X14" si="3">P5</f>
        <v>0</v>
      </c>
    </row>
    <row r="6" spans="1:26" ht="15.75" x14ac:dyDescent="0.5">
      <c r="A6" s="116" t="s">
        <v>52</v>
      </c>
      <c r="B6" s="142">
        <v>44000</v>
      </c>
      <c r="C6" s="116" t="s">
        <v>188</v>
      </c>
      <c r="D6" s="405">
        <f>'Table C'!F18</f>
        <v>5.2399999999999999E-3</v>
      </c>
      <c r="E6" s="402" t="s">
        <v>240</v>
      </c>
      <c r="F6" s="29"/>
      <c r="G6" s="405">
        <f>'Table C'!I18</f>
        <v>6.1200000000000004E-3</v>
      </c>
      <c r="H6" s="402" t="s">
        <v>240</v>
      </c>
      <c r="I6" s="116"/>
      <c r="K6" s="197">
        <v>4000</v>
      </c>
      <c r="L6" s="197">
        <f>K6</f>
        <v>4000</v>
      </c>
      <c r="M6" s="142">
        <f>K6-L6</f>
        <v>0</v>
      </c>
      <c r="Q6" s="197">
        <f>SUM(L6:P6)</f>
        <v>4000</v>
      </c>
      <c r="S6" s="197">
        <v>4000</v>
      </c>
      <c r="T6" s="197">
        <f t="shared" ref="T6:T14" si="4">L6</f>
        <v>4000</v>
      </c>
      <c r="U6" s="197">
        <f t="shared" si="0"/>
        <v>0</v>
      </c>
      <c r="V6" s="197">
        <f t="shared" si="1"/>
        <v>0</v>
      </c>
      <c r="W6" s="197">
        <f t="shared" si="2"/>
        <v>0</v>
      </c>
      <c r="X6" s="197">
        <f t="shared" si="3"/>
        <v>0</v>
      </c>
      <c r="Y6" s="197">
        <f>SUM(T6:X6)</f>
        <v>4000</v>
      </c>
    </row>
    <row r="7" spans="1:26" ht="15.75" x14ac:dyDescent="0.5">
      <c r="A7" s="116" t="s">
        <v>52</v>
      </c>
      <c r="B7" s="142">
        <v>50000</v>
      </c>
      <c r="C7" s="116" t="s">
        <v>188</v>
      </c>
      <c r="D7" s="405">
        <f>'Table C'!F19</f>
        <v>4.5100000000000001E-3</v>
      </c>
      <c r="E7" s="402" t="s">
        <v>240</v>
      </c>
      <c r="F7" s="29"/>
      <c r="G7" s="405">
        <f>'Table C'!I19</f>
        <v>5.2700000000000004E-3</v>
      </c>
      <c r="H7" s="402" t="s">
        <v>240</v>
      </c>
      <c r="I7" s="116"/>
      <c r="K7" s="197">
        <v>6000</v>
      </c>
      <c r="L7" s="197">
        <f>L3</f>
        <v>5000</v>
      </c>
      <c r="M7" s="197">
        <f>K7-L7</f>
        <v>1000</v>
      </c>
      <c r="N7" s="197">
        <f>K7-L7-M7</f>
        <v>0</v>
      </c>
      <c r="Q7" s="197">
        <f t="shared" ref="Q7:Q14" si="5">SUM(L7:P7)</f>
        <v>6000</v>
      </c>
      <c r="S7" s="197">
        <v>6000</v>
      </c>
      <c r="T7" s="197">
        <f t="shared" si="4"/>
        <v>5000</v>
      </c>
      <c r="U7" s="197">
        <f t="shared" si="0"/>
        <v>1000</v>
      </c>
      <c r="V7" s="197">
        <f t="shared" si="1"/>
        <v>0</v>
      </c>
      <c r="W7" s="197">
        <f t="shared" si="2"/>
        <v>0</v>
      </c>
      <c r="X7" s="197">
        <f t="shared" si="3"/>
        <v>0</v>
      </c>
      <c r="Y7" s="197">
        <f t="shared" ref="Y7:Y14" si="6">SUM(T7:X7)</f>
        <v>6000</v>
      </c>
    </row>
    <row r="8" spans="1:26" ht="15.75" x14ac:dyDescent="0.5">
      <c r="A8" s="116" t="s">
        <v>114</v>
      </c>
      <c r="B8" s="142">
        <f>SUM(B4:B7)</f>
        <v>100000</v>
      </c>
      <c r="C8" s="116" t="s">
        <v>188</v>
      </c>
      <c r="D8" s="405">
        <f>'Table C'!F20</f>
        <v>3.7599999999999999E-3</v>
      </c>
      <c r="E8" s="402" t="s">
        <v>240</v>
      </c>
      <c r="F8" s="29"/>
      <c r="G8" s="405">
        <f>'Table C'!I20</f>
        <v>4.3900000000000007E-3</v>
      </c>
      <c r="H8" s="402" t="s">
        <v>240</v>
      </c>
      <c r="I8" s="116"/>
      <c r="K8" s="197">
        <v>8000</v>
      </c>
      <c r="L8" s="197">
        <v>5000</v>
      </c>
      <c r="M8" s="197">
        <v>1000</v>
      </c>
      <c r="N8" s="197">
        <f>K8-L8-M8</f>
        <v>2000</v>
      </c>
      <c r="Q8" s="197">
        <f t="shared" si="5"/>
        <v>8000</v>
      </c>
      <c r="S8" s="197">
        <v>8000</v>
      </c>
      <c r="T8" s="197">
        <f t="shared" si="4"/>
        <v>5000</v>
      </c>
      <c r="U8" s="197">
        <f t="shared" si="0"/>
        <v>1000</v>
      </c>
      <c r="V8" s="197">
        <f t="shared" si="1"/>
        <v>2000</v>
      </c>
      <c r="W8" s="197">
        <f t="shared" si="2"/>
        <v>0</v>
      </c>
      <c r="X8" s="197">
        <f t="shared" si="3"/>
        <v>0</v>
      </c>
      <c r="Y8" s="197">
        <f t="shared" si="6"/>
        <v>8000</v>
      </c>
    </row>
    <row r="9" spans="1:26" x14ac:dyDescent="0.4">
      <c r="E9" s="514"/>
      <c r="F9" s="116"/>
      <c r="K9" s="197">
        <v>10000</v>
      </c>
      <c r="L9" s="197">
        <v>5000</v>
      </c>
      <c r="M9" s="197">
        <v>1000</v>
      </c>
      <c r="N9" s="197">
        <f>K9-L9-M9</f>
        <v>4000</v>
      </c>
      <c r="Q9" s="197">
        <f t="shared" si="5"/>
        <v>10000</v>
      </c>
      <c r="S9" s="197">
        <v>10000</v>
      </c>
      <c r="T9" s="197">
        <f t="shared" si="4"/>
        <v>5000</v>
      </c>
      <c r="U9" s="197">
        <f t="shared" si="0"/>
        <v>1000</v>
      </c>
      <c r="V9" s="197">
        <f t="shared" si="1"/>
        <v>4000</v>
      </c>
      <c r="W9" s="197">
        <f t="shared" si="2"/>
        <v>0</v>
      </c>
      <c r="X9" s="197">
        <f t="shared" si="3"/>
        <v>0</v>
      </c>
      <c r="Y9" s="197">
        <f t="shared" si="6"/>
        <v>10000</v>
      </c>
    </row>
    <row r="10" spans="1:26" x14ac:dyDescent="0.4">
      <c r="E10" s="514"/>
      <c r="F10" s="116"/>
      <c r="K10" s="197">
        <v>12000</v>
      </c>
      <c r="L10" s="197">
        <v>5000</v>
      </c>
      <c r="M10" s="197">
        <v>1000</v>
      </c>
      <c r="N10" s="197">
        <f>K10-L10-M10</f>
        <v>6000</v>
      </c>
      <c r="O10" s="197">
        <f>K10-L10-M10-N10</f>
        <v>0</v>
      </c>
      <c r="Q10" s="197">
        <f t="shared" si="5"/>
        <v>12000</v>
      </c>
      <c r="S10" s="197">
        <v>12000</v>
      </c>
      <c r="T10" s="197">
        <f t="shared" si="4"/>
        <v>5000</v>
      </c>
      <c r="U10" s="197">
        <f t="shared" si="0"/>
        <v>1000</v>
      </c>
      <c r="V10" s="197">
        <f t="shared" si="1"/>
        <v>6000</v>
      </c>
      <c r="W10" s="197">
        <f t="shared" si="2"/>
        <v>0</v>
      </c>
      <c r="X10" s="197">
        <f t="shared" si="3"/>
        <v>0</v>
      </c>
      <c r="Y10" s="197">
        <f t="shared" si="6"/>
        <v>12000</v>
      </c>
    </row>
    <row r="11" spans="1:26" x14ac:dyDescent="0.4">
      <c r="E11" s="514"/>
      <c r="F11" s="116"/>
      <c r="K11" s="197">
        <v>14000</v>
      </c>
      <c r="L11" s="197">
        <v>5000</v>
      </c>
      <c r="M11" s="197">
        <v>1000</v>
      </c>
      <c r="N11" s="197">
        <f t="shared" ref="N11:N14" si="7">K11-L11-M11</f>
        <v>8000</v>
      </c>
      <c r="O11" s="197">
        <f>K11-L11-M11-N11</f>
        <v>0</v>
      </c>
      <c r="Q11" s="197">
        <f t="shared" si="5"/>
        <v>14000</v>
      </c>
      <c r="S11" s="197">
        <v>14000</v>
      </c>
      <c r="T11" s="197">
        <f t="shared" si="4"/>
        <v>5000</v>
      </c>
      <c r="U11" s="197">
        <f t="shared" si="0"/>
        <v>1000</v>
      </c>
      <c r="V11" s="197">
        <f t="shared" si="1"/>
        <v>8000</v>
      </c>
      <c r="W11" s="197">
        <f t="shared" si="2"/>
        <v>0</v>
      </c>
      <c r="X11" s="197">
        <f t="shared" si="3"/>
        <v>0</v>
      </c>
      <c r="Y11" s="197">
        <f t="shared" si="6"/>
        <v>14000</v>
      </c>
    </row>
    <row r="12" spans="1:26" x14ac:dyDescent="0.4">
      <c r="E12" s="514"/>
      <c r="F12" s="116"/>
      <c r="K12" s="197">
        <v>16000</v>
      </c>
      <c r="L12" s="197">
        <v>5000</v>
      </c>
      <c r="M12" s="197">
        <v>1000</v>
      </c>
      <c r="N12" s="197">
        <f t="shared" si="7"/>
        <v>10000</v>
      </c>
      <c r="O12" s="197">
        <f>K12-L12-M12-N12</f>
        <v>0</v>
      </c>
      <c r="Q12" s="197">
        <f t="shared" si="5"/>
        <v>16000</v>
      </c>
      <c r="S12" s="197">
        <v>16000</v>
      </c>
      <c r="T12" s="197">
        <f t="shared" si="4"/>
        <v>5000</v>
      </c>
      <c r="U12" s="197">
        <f t="shared" si="0"/>
        <v>1000</v>
      </c>
      <c r="V12" s="197">
        <f t="shared" si="1"/>
        <v>10000</v>
      </c>
      <c r="W12" s="197">
        <f t="shared" si="2"/>
        <v>0</v>
      </c>
      <c r="X12" s="197">
        <f t="shared" si="3"/>
        <v>0</v>
      </c>
      <c r="Y12" s="197">
        <f t="shared" si="6"/>
        <v>16000</v>
      </c>
    </row>
    <row r="13" spans="1:26" x14ac:dyDescent="0.4">
      <c r="E13" s="514"/>
      <c r="F13" s="116"/>
      <c r="K13" s="197">
        <v>18000</v>
      </c>
      <c r="L13" s="197">
        <v>5000</v>
      </c>
      <c r="M13" s="197">
        <v>1000</v>
      </c>
      <c r="N13" s="197">
        <f t="shared" si="7"/>
        <v>12000</v>
      </c>
      <c r="O13" s="197">
        <f t="shared" ref="O13:O14" si="8">K13-L13-M13-N13</f>
        <v>0</v>
      </c>
      <c r="P13" s="197">
        <f>K13-L13-M13-N13-O13</f>
        <v>0</v>
      </c>
      <c r="Q13" s="197">
        <f t="shared" si="5"/>
        <v>18000</v>
      </c>
      <c r="S13" s="197">
        <v>18000</v>
      </c>
      <c r="T13" s="197">
        <f t="shared" si="4"/>
        <v>5000</v>
      </c>
      <c r="U13" s="197">
        <f t="shared" si="0"/>
        <v>1000</v>
      </c>
      <c r="V13" s="197">
        <f t="shared" si="1"/>
        <v>12000</v>
      </c>
      <c r="W13" s="197">
        <f t="shared" si="2"/>
        <v>0</v>
      </c>
      <c r="X13" s="197">
        <f t="shared" si="3"/>
        <v>0</v>
      </c>
      <c r="Y13" s="197">
        <f t="shared" si="6"/>
        <v>18000</v>
      </c>
    </row>
    <row r="14" spans="1:26" x14ac:dyDescent="0.4">
      <c r="E14" s="514"/>
      <c r="F14" s="116"/>
      <c r="K14" s="197">
        <v>20000</v>
      </c>
      <c r="L14" s="197">
        <v>5000</v>
      </c>
      <c r="M14" s="197">
        <v>1000</v>
      </c>
      <c r="N14" s="197">
        <f t="shared" si="7"/>
        <v>14000</v>
      </c>
      <c r="O14" s="197">
        <f t="shared" si="8"/>
        <v>0</v>
      </c>
      <c r="P14" s="197">
        <f>+K14-L14-M14-N14-O14</f>
        <v>0</v>
      </c>
      <c r="Q14" s="197">
        <f t="shared" si="5"/>
        <v>20000</v>
      </c>
      <c r="S14" s="197">
        <v>20000</v>
      </c>
      <c r="T14" s="197">
        <f t="shared" si="4"/>
        <v>5000</v>
      </c>
      <c r="U14" s="197">
        <f t="shared" si="0"/>
        <v>1000</v>
      </c>
      <c r="V14" s="197">
        <f t="shared" si="1"/>
        <v>14000</v>
      </c>
      <c r="W14" s="197">
        <f t="shared" si="2"/>
        <v>0</v>
      </c>
      <c r="X14" s="197">
        <f t="shared" si="3"/>
        <v>0</v>
      </c>
      <c r="Y14" s="197">
        <f t="shared" si="6"/>
        <v>20000</v>
      </c>
    </row>
    <row r="15" spans="1:26" x14ac:dyDescent="0.4">
      <c r="E15" s="514"/>
      <c r="F15" s="116"/>
    </row>
    <row r="16" spans="1:26" x14ac:dyDescent="0.4">
      <c r="E16" s="514"/>
      <c r="F16" s="116"/>
      <c r="K16" s="197">
        <v>2000</v>
      </c>
      <c r="L16" s="138">
        <f>L4</f>
        <v>38.68</v>
      </c>
      <c r="M16" s="138"/>
      <c r="N16" s="138"/>
      <c r="O16" s="138"/>
      <c r="P16" s="138"/>
      <c r="Q16" s="138">
        <f>SUM(L16:P16)</f>
        <v>38.68</v>
      </c>
      <c r="S16" s="197">
        <v>2000</v>
      </c>
      <c r="T16" s="138">
        <f>T4</f>
        <v>45.25</v>
      </c>
      <c r="U16" s="138"/>
      <c r="V16" s="138"/>
      <c r="W16" s="138"/>
      <c r="X16" s="138"/>
      <c r="Y16" s="138">
        <f>SUM(T16:X16)</f>
        <v>45.25</v>
      </c>
    </row>
    <row r="17" spans="1:26" x14ac:dyDescent="0.4">
      <c r="E17" s="514"/>
      <c r="F17" s="116"/>
      <c r="K17" s="197">
        <v>4000</v>
      </c>
      <c r="L17" s="138">
        <f>L16</f>
        <v>38.68</v>
      </c>
      <c r="M17" s="138">
        <f>M6*M$4</f>
        <v>0</v>
      </c>
      <c r="N17" s="138">
        <f t="shared" ref="N17:P17" si="9">N6*N$4</f>
        <v>0</v>
      </c>
      <c r="O17" s="138">
        <f t="shared" si="9"/>
        <v>0</v>
      </c>
      <c r="P17" s="138">
        <f t="shared" si="9"/>
        <v>0</v>
      </c>
      <c r="Q17" s="138">
        <f t="shared" ref="Q17:Q25" si="10">SUM(L17:P17)</f>
        <v>38.68</v>
      </c>
      <c r="S17" s="197">
        <v>4000</v>
      </c>
      <c r="T17" s="138">
        <f>T16</f>
        <v>45.25</v>
      </c>
      <c r="U17" s="138">
        <f>U6*U$4</f>
        <v>0</v>
      </c>
      <c r="V17" s="138">
        <f t="shared" ref="V17:X17" si="11">V6*V$4</f>
        <v>0</v>
      </c>
      <c r="W17" s="138">
        <f t="shared" si="11"/>
        <v>0</v>
      </c>
      <c r="X17" s="138">
        <f t="shared" si="11"/>
        <v>0</v>
      </c>
      <c r="Y17" s="138">
        <f t="shared" ref="Y17:Y25" si="12">SUM(T17:X17)</f>
        <v>45.25</v>
      </c>
    </row>
    <row r="18" spans="1:26" x14ac:dyDescent="0.4">
      <c r="E18" s="514"/>
      <c r="F18" s="116"/>
      <c r="K18" s="197">
        <v>6000</v>
      </c>
      <c r="L18" s="138">
        <f t="shared" ref="L18:L25" si="13">L17</f>
        <v>38.68</v>
      </c>
      <c r="M18" s="138">
        <f t="shared" ref="M18:P25" si="14">M7*M$4</f>
        <v>5.8999999999999995</v>
      </c>
      <c r="N18" s="138">
        <f t="shared" si="14"/>
        <v>0</v>
      </c>
      <c r="O18" s="138">
        <f t="shared" si="14"/>
        <v>0</v>
      </c>
      <c r="P18" s="138">
        <f t="shared" si="14"/>
        <v>0</v>
      </c>
      <c r="Q18" s="138">
        <f t="shared" si="10"/>
        <v>44.58</v>
      </c>
      <c r="S18" s="197">
        <v>6000</v>
      </c>
      <c r="T18" s="138">
        <f t="shared" ref="T18:T25" si="15">T17</f>
        <v>45.25</v>
      </c>
      <c r="U18" s="138">
        <f t="shared" ref="U18:X18" si="16">U7*U$4</f>
        <v>6.8900000000000006</v>
      </c>
      <c r="V18" s="138">
        <f t="shared" si="16"/>
        <v>0</v>
      </c>
      <c r="W18" s="138">
        <f t="shared" si="16"/>
        <v>0</v>
      </c>
      <c r="X18" s="138">
        <f t="shared" si="16"/>
        <v>0</v>
      </c>
      <c r="Y18" s="138">
        <f t="shared" si="12"/>
        <v>52.14</v>
      </c>
    </row>
    <row r="19" spans="1:26" x14ac:dyDescent="0.4">
      <c r="E19" s="514"/>
      <c r="F19" s="116"/>
      <c r="K19" s="197">
        <v>8000</v>
      </c>
      <c r="L19" s="138">
        <f t="shared" si="13"/>
        <v>38.68</v>
      </c>
      <c r="M19" s="138">
        <f t="shared" si="14"/>
        <v>5.8999999999999995</v>
      </c>
      <c r="N19" s="138">
        <f t="shared" si="14"/>
        <v>10.48</v>
      </c>
      <c r="O19" s="138">
        <f t="shared" si="14"/>
        <v>0</v>
      </c>
      <c r="P19" s="138">
        <f t="shared" si="14"/>
        <v>0</v>
      </c>
      <c r="Q19" s="138">
        <f t="shared" si="10"/>
        <v>55.06</v>
      </c>
      <c r="S19" s="197">
        <v>8000</v>
      </c>
      <c r="T19" s="138">
        <f t="shared" si="15"/>
        <v>45.25</v>
      </c>
      <c r="U19" s="138">
        <f t="shared" ref="U19:X19" si="17">U8*U$4</f>
        <v>6.8900000000000006</v>
      </c>
      <c r="V19" s="138">
        <f t="shared" si="17"/>
        <v>12.24</v>
      </c>
      <c r="W19" s="138">
        <f t="shared" si="17"/>
        <v>0</v>
      </c>
      <c r="X19" s="138">
        <f t="shared" si="17"/>
        <v>0</v>
      </c>
      <c r="Y19" s="138">
        <f t="shared" si="12"/>
        <v>64.38</v>
      </c>
    </row>
    <row r="20" spans="1:26" x14ac:dyDescent="0.4">
      <c r="E20" s="514"/>
      <c r="F20" s="116"/>
      <c r="K20" s="197">
        <v>10000</v>
      </c>
      <c r="L20" s="138">
        <f t="shared" si="13"/>
        <v>38.68</v>
      </c>
      <c r="M20" s="138">
        <f t="shared" si="14"/>
        <v>5.8999999999999995</v>
      </c>
      <c r="N20" s="138">
        <f t="shared" si="14"/>
        <v>20.96</v>
      </c>
      <c r="O20" s="138">
        <f t="shared" si="14"/>
        <v>0</v>
      </c>
      <c r="P20" s="138">
        <f t="shared" si="14"/>
        <v>0</v>
      </c>
      <c r="Q20" s="138">
        <f t="shared" si="10"/>
        <v>65.539999999999992</v>
      </c>
      <c r="S20" s="197">
        <v>10000</v>
      </c>
      <c r="T20" s="138">
        <f t="shared" si="15"/>
        <v>45.25</v>
      </c>
      <c r="U20" s="138">
        <f t="shared" ref="U20:X20" si="18">U9*U$4</f>
        <v>6.8900000000000006</v>
      </c>
      <c r="V20" s="138">
        <f t="shared" si="18"/>
        <v>24.48</v>
      </c>
      <c r="W20" s="138">
        <f t="shared" si="18"/>
        <v>0</v>
      </c>
      <c r="X20" s="138">
        <f t="shared" si="18"/>
        <v>0</v>
      </c>
      <c r="Y20" s="138">
        <f t="shared" si="12"/>
        <v>76.62</v>
      </c>
    </row>
    <row r="21" spans="1:26" x14ac:dyDescent="0.4">
      <c r="E21" s="514"/>
      <c r="F21" s="116"/>
      <c r="K21" s="197">
        <v>12000</v>
      </c>
      <c r="L21" s="138">
        <f t="shared" si="13"/>
        <v>38.68</v>
      </c>
      <c r="M21" s="138">
        <f t="shared" si="14"/>
        <v>5.8999999999999995</v>
      </c>
      <c r="N21" s="138">
        <f t="shared" si="14"/>
        <v>31.439999999999998</v>
      </c>
      <c r="O21" s="138">
        <f t="shared" si="14"/>
        <v>0</v>
      </c>
      <c r="P21" s="138">
        <f t="shared" si="14"/>
        <v>0</v>
      </c>
      <c r="Q21" s="138">
        <f t="shared" si="10"/>
        <v>76.02</v>
      </c>
      <c r="S21" s="197">
        <v>12000</v>
      </c>
      <c r="T21" s="138">
        <f t="shared" si="15"/>
        <v>45.25</v>
      </c>
      <c r="U21" s="138">
        <f t="shared" ref="U21:X21" si="19">U10*U$4</f>
        <v>6.8900000000000006</v>
      </c>
      <c r="V21" s="138">
        <f t="shared" si="19"/>
        <v>36.720000000000006</v>
      </c>
      <c r="W21" s="138">
        <f t="shared" si="19"/>
        <v>0</v>
      </c>
      <c r="X21" s="138">
        <f t="shared" si="19"/>
        <v>0</v>
      </c>
      <c r="Y21" s="138">
        <f t="shared" si="12"/>
        <v>88.860000000000014</v>
      </c>
    </row>
    <row r="22" spans="1:26" x14ac:dyDescent="0.4">
      <c r="E22" s="514"/>
      <c r="F22" s="116"/>
      <c r="K22" s="197">
        <v>14000</v>
      </c>
      <c r="L22" s="138">
        <f t="shared" si="13"/>
        <v>38.68</v>
      </c>
      <c r="M22" s="138">
        <f t="shared" si="14"/>
        <v>5.8999999999999995</v>
      </c>
      <c r="N22" s="138">
        <f t="shared" si="14"/>
        <v>41.92</v>
      </c>
      <c r="O22" s="138">
        <f t="shared" si="14"/>
        <v>0</v>
      </c>
      <c r="P22" s="138">
        <f t="shared" si="14"/>
        <v>0</v>
      </c>
      <c r="Q22" s="138">
        <f t="shared" si="10"/>
        <v>86.5</v>
      </c>
      <c r="S22" s="197">
        <v>14000</v>
      </c>
      <c r="T22" s="138">
        <f t="shared" si="15"/>
        <v>45.25</v>
      </c>
      <c r="U22" s="138">
        <f t="shared" ref="U22:X22" si="20">U11*U$4</f>
        <v>6.8900000000000006</v>
      </c>
      <c r="V22" s="138">
        <f t="shared" si="20"/>
        <v>48.96</v>
      </c>
      <c r="W22" s="138">
        <f t="shared" si="20"/>
        <v>0</v>
      </c>
      <c r="X22" s="138">
        <f t="shared" si="20"/>
        <v>0</v>
      </c>
      <c r="Y22" s="138">
        <f t="shared" si="12"/>
        <v>101.1</v>
      </c>
    </row>
    <row r="23" spans="1:26" x14ac:dyDescent="0.4">
      <c r="E23" s="514"/>
      <c r="F23" s="116"/>
      <c r="K23" s="197">
        <v>16000</v>
      </c>
      <c r="L23" s="138">
        <f t="shared" si="13"/>
        <v>38.68</v>
      </c>
      <c r="M23" s="138">
        <f t="shared" si="14"/>
        <v>5.8999999999999995</v>
      </c>
      <c r="N23" s="138">
        <f t="shared" si="14"/>
        <v>52.4</v>
      </c>
      <c r="O23" s="138">
        <f t="shared" si="14"/>
        <v>0</v>
      </c>
      <c r="P23" s="138">
        <f t="shared" si="14"/>
        <v>0</v>
      </c>
      <c r="Q23" s="138">
        <f t="shared" si="10"/>
        <v>96.97999999999999</v>
      </c>
      <c r="S23" s="197">
        <v>16000</v>
      </c>
      <c r="T23" s="138">
        <f t="shared" si="15"/>
        <v>45.25</v>
      </c>
      <c r="U23" s="138">
        <f t="shared" ref="U23:X23" si="21">U12*U$4</f>
        <v>6.8900000000000006</v>
      </c>
      <c r="V23" s="138">
        <f t="shared" si="21"/>
        <v>61.2</v>
      </c>
      <c r="W23" s="138">
        <f t="shared" si="21"/>
        <v>0</v>
      </c>
      <c r="X23" s="138">
        <f t="shared" si="21"/>
        <v>0</v>
      </c>
      <c r="Y23" s="138">
        <f t="shared" si="12"/>
        <v>113.34</v>
      </c>
    </row>
    <row r="24" spans="1:26" x14ac:dyDescent="0.4">
      <c r="E24" s="514"/>
      <c r="F24" s="116"/>
      <c r="K24" s="197">
        <v>18000</v>
      </c>
      <c r="L24" s="138">
        <f t="shared" si="13"/>
        <v>38.68</v>
      </c>
      <c r="M24" s="138">
        <f t="shared" si="14"/>
        <v>5.8999999999999995</v>
      </c>
      <c r="N24" s="138">
        <f t="shared" si="14"/>
        <v>62.879999999999995</v>
      </c>
      <c r="O24" s="138">
        <f t="shared" si="14"/>
        <v>0</v>
      </c>
      <c r="P24" s="138">
        <f t="shared" si="14"/>
        <v>0</v>
      </c>
      <c r="Q24" s="138">
        <f t="shared" si="10"/>
        <v>107.46</v>
      </c>
      <c r="S24" s="197">
        <v>18000</v>
      </c>
      <c r="T24" s="138">
        <f t="shared" si="15"/>
        <v>45.25</v>
      </c>
      <c r="U24" s="138">
        <f t="shared" ref="U24:X24" si="22">U13*U$4</f>
        <v>6.8900000000000006</v>
      </c>
      <c r="V24" s="138">
        <f t="shared" si="22"/>
        <v>73.440000000000012</v>
      </c>
      <c r="W24" s="138">
        <f t="shared" si="22"/>
        <v>0</v>
      </c>
      <c r="X24" s="138">
        <f t="shared" si="22"/>
        <v>0</v>
      </c>
      <c r="Y24" s="138">
        <f t="shared" si="12"/>
        <v>125.58000000000001</v>
      </c>
    </row>
    <row r="25" spans="1:26" x14ac:dyDescent="0.4">
      <c r="E25" s="514"/>
      <c r="F25" s="116"/>
      <c r="K25" s="197">
        <v>20000</v>
      </c>
      <c r="L25" s="138">
        <f t="shared" si="13"/>
        <v>38.68</v>
      </c>
      <c r="M25" s="138">
        <f t="shared" si="14"/>
        <v>5.8999999999999995</v>
      </c>
      <c r="N25" s="138">
        <f t="shared" si="14"/>
        <v>73.36</v>
      </c>
      <c r="O25" s="138">
        <f t="shared" si="14"/>
        <v>0</v>
      </c>
      <c r="P25" s="138">
        <f t="shared" si="14"/>
        <v>0</v>
      </c>
      <c r="Q25" s="138">
        <f t="shared" si="10"/>
        <v>117.94</v>
      </c>
      <c r="S25" s="197">
        <v>20000</v>
      </c>
      <c r="T25" s="138">
        <f t="shared" si="15"/>
        <v>45.25</v>
      </c>
      <c r="U25" s="138">
        <f t="shared" ref="U25:X25" si="23">U14*U$4</f>
        <v>6.8900000000000006</v>
      </c>
      <c r="V25" s="138">
        <f t="shared" si="23"/>
        <v>85.68</v>
      </c>
      <c r="W25" s="138">
        <f t="shared" si="23"/>
        <v>0</v>
      </c>
      <c r="X25" s="138">
        <f t="shared" si="23"/>
        <v>0</v>
      </c>
      <c r="Y25" s="138">
        <f t="shared" si="12"/>
        <v>137.82</v>
      </c>
    </row>
    <row r="26" spans="1:26" x14ac:dyDescent="0.4">
      <c r="C26"/>
      <c r="D26"/>
      <c r="E26"/>
      <c r="F26"/>
      <c r="G26"/>
      <c r="H26"/>
      <c r="I26"/>
      <c r="J26"/>
    </row>
    <row r="27" spans="1:26" x14ac:dyDescent="0.4">
      <c r="C27"/>
      <c r="D27"/>
      <c r="E27"/>
      <c r="F27"/>
      <c r="G27"/>
      <c r="H27"/>
      <c r="I27"/>
      <c r="J27"/>
    </row>
    <row r="28" spans="1:26" ht="20.65" x14ac:dyDescent="0.6">
      <c r="A28" s="685" t="s">
        <v>697</v>
      </c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</row>
    <row r="29" spans="1:26" x14ac:dyDescent="0.4">
      <c r="C29" s="512"/>
      <c r="I29" s="513"/>
      <c r="K29" s="686" t="s">
        <v>700</v>
      </c>
      <c r="L29" s="686"/>
      <c r="M29" s="686"/>
      <c r="N29" s="686"/>
      <c r="O29" s="686"/>
      <c r="P29" s="686"/>
      <c r="Q29" s="686"/>
      <c r="S29" s="686" t="s">
        <v>701</v>
      </c>
      <c r="T29" s="686"/>
      <c r="U29" s="686"/>
      <c r="V29" s="686"/>
      <c r="W29" s="686"/>
      <c r="X29" s="686"/>
      <c r="Y29" s="686"/>
      <c r="Z29" s="145"/>
    </row>
    <row r="30" spans="1:26" ht="15.75" x14ac:dyDescent="0.5">
      <c r="A30" s="116" t="s">
        <v>334</v>
      </c>
      <c r="B30" s="142"/>
      <c r="D30" s="684" t="s">
        <v>696</v>
      </c>
      <c r="E30" s="684"/>
      <c r="F30" s="14"/>
      <c r="G30" s="657" t="s">
        <v>702</v>
      </c>
      <c r="H30" s="657"/>
      <c r="I30" s="657"/>
      <c r="J30" s="403"/>
      <c r="L30" s="142">
        <v>5000</v>
      </c>
      <c r="M30" s="142">
        <v>1000</v>
      </c>
      <c r="N30" s="142">
        <v>44000</v>
      </c>
      <c r="O30" s="142">
        <v>50000</v>
      </c>
      <c r="P30" s="142">
        <f>SUM(L30:O30)</f>
        <v>100000</v>
      </c>
      <c r="T30" s="142">
        <v>5000</v>
      </c>
      <c r="U30" s="142">
        <v>1000</v>
      </c>
      <c r="V30" s="142">
        <v>44000</v>
      </c>
      <c r="W30" s="142">
        <v>50000</v>
      </c>
      <c r="X30" s="142">
        <f>SUM(T30:W30)</f>
        <v>100000</v>
      </c>
    </row>
    <row r="31" spans="1:26" ht="15.75" x14ac:dyDescent="0.5">
      <c r="A31" s="116" t="s">
        <v>51</v>
      </c>
      <c r="B31" s="142">
        <v>5000</v>
      </c>
      <c r="C31" s="116" t="s">
        <v>188</v>
      </c>
      <c r="D31" s="404">
        <f>G4</f>
        <v>45.25</v>
      </c>
      <c r="E31" s="402" t="s">
        <v>241</v>
      </c>
      <c r="F31" s="29"/>
      <c r="G31" s="404">
        <f>'Table C'!P16</f>
        <v>51.89</v>
      </c>
      <c r="H31" s="402" t="s">
        <v>241</v>
      </c>
      <c r="I31" s="116"/>
      <c r="L31" s="404">
        <f>D31</f>
        <v>45.25</v>
      </c>
      <c r="M31" s="405">
        <f>D32</f>
        <v>6.8900000000000003E-3</v>
      </c>
      <c r="N31" s="405">
        <f>D33</f>
        <v>6.1200000000000004E-3</v>
      </c>
      <c r="O31" s="405">
        <f>D34</f>
        <v>5.2700000000000004E-3</v>
      </c>
      <c r="P31" s="405">
        <f>D35</f>
        <v>4.3900000000000007E-3</v>
      </c>
      <c r="T31" s="404">
        <f>G31</f>
        <v>51.89</v>
      </c>
      <c r="U31" s="405">
        <f>G32</f>
        <v>7.9100000000000004E-3</v>
      </c>
      <c r="V31" s="405">
        <f>G33</f>
        <v>7.0200000000000002E-3</v>
      </c>
      <c r="W31" s="405">
        <f>G34</f>
        <v>6.0400000000000002E-3</v>
      </c>
      <c r="X31" s="405">
        <f>G35</f>
        <v>5.0300000000000006E-3</v>
      </c>
    </row>
    <row r="32" spans="1:26" ht="15.75" x14ac:dyDescent="0.5">
      <c r="A32" s="116" t="s">
        <v>52</v>
      </c>
      <c r="B32" s="142">
        <v>1000</v>
      </c>
      <c r="C32" s="116" t="s">
        <v>188</v>
      </c>
      <c r="D32" s="405">
        <f>G5</f>
        <v>6.8900000000000003E-3</v>
      </c>
      <c r="E32" s="402" t="s">
        <v>240</v>
      </c>
      <c r="F32" s="29"/>
      <c r="G32" s="405">
        <f>'Table C'!P17</f>
        <v>7.9100000000000004E-3</v>
      </c>
      <c r="H32" s="402" t="s">
        <v>240</v>
      </c>
      <c r="I32" s="116"/>
      <c r="K32" s="197">
        <v>2000</v>
      </c>
      <c r="L32" s="197">
        <v>2000</v>
      </c>
      <c r="S32" s="197">
        <v>2000</v>
      </c>
      <c r="T32" s="197">
        <f>L32</f>
        <v>2000</v>
      </c>
      <c r="U32" s="197">
        <f t="shared" ref="U32:U41" si="24">M32</f>
        <v>0</v>
      </c>
      <c r="V32" s="197">
        <f t="shared" ref="V32:V41" si="25">N32</f>
        <v>0</v>
      </c>
      <c r="W32" s="197">
        <f t="shared" ref="W32:W41" si="26">O32</f>
        <v>0</v>
      </c>
      <c r="X32" s="197">
        <f t="shared" ref="X32:X41" si="27">P32</f>
        <v>0</v>
      </c>
    </row>
    <row r="33" spans="1:25" ht="15.75" x14ac:dyDescent="0.5">
      <c r="A33" s="116" t="s">
        <v>52</v>
      </c>
      <c r="B33" s="142">
        <v>44000</v>
      </c>
      <c r="C33" s="116" t="s">
        <v>188</v>
      </c>
      <c r="D33" s="405">
        <f t="shared" ref="D33:D35" si="28">G6</f>
        <v>6.1200000000000004E-3</v>
      </c>
      <c r="E33" s="402" t="s">
        <v>240</v>
      </c>
      <c r="F33" s="29"/>
      <c r="G33" s="405">
        <f>'Table C'!P18</f>
        <v>7.0200000000000002E-3</v>
      </c>
      <c r="H33" s="402" t="s">
        <v>240</v>
      </c>
      <c r="I33" s="116"/>
      <c r="K33" s="197">
        <v>4000</v>
      </c>
      <c r="L33" s="197">
        <f>K33</f>
        <v>4000</v>
      </c>
      <c r="M33" s="142">
        <f>K33-L33</f>
        <v>0</v>
      </c>
      <c r="Q33" s="197">
        <f>SUM(L33:P33)</f>
        <v>4000</v>
      </c>
      <c r="S33" s="197">
        <v>4000</v>
      </c>
      <c r="T33" s="197">
        <f t="shared" ref="T33:T41" si="29">L33</f>
        <v>4000</v>
      </c>
      <c r="U33" s="197">
        <f t="shared" si="24"/>
        <v>0</v>
      </c>
      <c r="V33" s="197">
        <f t="shared" si="25"/>
        <v>0</v>
      </c>
      <c r="W33" s="197">
        <f t="shared" si="26"/>
        <v>0</v>
      </c>
      <c r="X33" s="197">
        <f t="shared" si="27"/>
        <v>0</v>
      </c>
      <c r="Y33" s="197">
        <f>SUM(T33:X33)</f>
        <v>4000</v>
      </c>
    </row>
    <row r="34" spans="1:25" ht="15.75" x14ac:dyDescent="0.5">
      <c r="A34" s="116" t="s">
        <v>52</v>
      </c>
      <c r="B34" s="142">
        <v>50000</v>
      </c>
      <c r="C34" s="116" t="s">
        <v>188</v>
      </c>
      <c r="D34" s="405">
        <f t="shared" si="28"/>
        <v>5.2700000000000004E-3</v>
      </c>
      <c r="E34" s="402" t="s">
        <v>240</v>
      </c>
      <c r="F34" s="29"/>
      <c r="G34" s="405">
        <f>'Table C'!P19</f>
        <v>6.0400000000000002E-3</v>
      </c>
      <c r="H34" s="402" t="s">
        <v>240</v>
      </c>
      <c r="I34" s="116"/>
      <c r="K34" s="197">
        <v>6000</v>
      </c>
      <c r="L34" s="197">
        <f>L30</f>
        <v>5000</v>
      </c>
      <c r="M34" s="197">
        <f>K34-L34</f>
        <v>1000</v>
      </c>
      <c r="N34" s="197">
        <f>K34-L34-M34</f>
        <v>0</v>
      </c>
      <c r="Q34" s="197">
        <f t="shared" ref="Q34:Q41" si="30">SUM(L34:P34)</f>
        <v>6000</v>
      </c>
      <c r="S34" s="197">
        <v>6000</v>
      </c>
      <c r="T34" s="197">
        <f t="shared" si="29"/>
        <v>5000</v>
      </c>
      <c r="U34" s="197">
        <f t="shared" si="24"/>
        <v>1000</v>
      </c>
      <c r="V34" s="197">
        <f t="shared" si="25"/>
        <v>0</v>
      </c>
      <c r="W34" s="197">
        <f t="shared" si="26"/>
        <v>0</v>
      </c>
      <c r="X34" s="197">
        <f t="shared" si="27"/>
        <v>0</v>
      </c>
      <c r="Y34" s="197">
        <f t="shared" ref="Y34:Y41" si="31">SUM(T34:X34)</f>
        <v>6000</v>
      </c>
    </row>
    <row r="35" spans="1:25" ht="15.75" x14ac:dyDescent="0.5">
      <c r="A35" s="116" t="s">
        <v>114</v>
      </c>
      <c r="B35" s="142">
        <f>SUM(B31:B34)</f>
        <v>100000</v>
      </c>
      <c r="C35" s="116" t="s">
        <v>188</v>
      </c>
      <c r="D35" s="405">
        <f t="shared" si="28"/>
        <v>4.3900000000000007E-3</v>
      </c>
      <c r="E35" s="402" t="s">
        <v>240</v>
      </c>
      <c r="F35" s="29"/>
      <c r="G35" s="405">
        <f>'Table C'!P20</f>
        <v>5.0300000000000006E-3</v>
      </c>
      <c r="H35" s="402" t="s">
        <v>240</v>
      </c>
      <c r="I35" s="116"/>
      <c r="K35" s="197">
        <v>8000</v>
      </c>
      <c r="L35" s="197">
        <v>5000</v>
      </c>
      <c r="M35" s="197">
        <v>1000</v>
      </c>
      <c r="N35" s="197">
        <f>K35-L35-M35</f>
        <v>2000</v>
      </c>
      <c r="Q35" s="197">
        <f t="shared" si="30"/>
        <v>8000</v>
      </c>
      <c r="S35" s="197">
        <v>8000</v>
      </c>
      <c r="T35" s="197">
        <f t="shared" si="29"/>
        <v>5000</v>
      </c>
      <c r="U35" s="197">
        <f t="shared" si="24"/>
        <v>1000</v>
      </c>
      <c r="V35" s="197">
        <f t="shared" si="25"/>
        <v>2000</v>
      </c>
      <c r="W35" s="197">
        <f t="shared" si="26"/>
        <v>0</v>
      </c>
      <c r="X35" s="197">
        <f t="shared" si="27"/>
        <v>0</v>
      </c>
      <c r="Y35" s="197">
        <f t="shared" si="31"/>
        <v>8000</v>
      </c>
    </row>
    <row r="36" spans="1:25" x14ac:dyDescent="0.4">
      <c r="E36" s="514"/>
      <c r="F36" s="116"/>
      <c r="K36" s="197">
        <v>10000</v>
      </c>
      <c r="L36" s="197">
        <v>5000</v>
      </c>
      <c r="M36" s="197">
        <v>1000</v>
      </c>
      <c r="N36" s="197">
        <f>K36-L36-M36</f>
        <v>4000</v>
      </c>
      <c r="Q36" s="197">
        <f t="shared" si="30"/>
        <v>10000</v>
      </c>
      <c r="S36" s="197">
        <v>10000</v>
      </c>
      <c r="T36" s="197">
        <f t="shared" si="29"/>
        <v>5000</v>
      </c>
      <c r="U36" s="197">
        <f t="shared" si="24"/>
        <v>1000</v>
      </c>
      <c r="V36" s="197">
        <f t="shared" si="25"/>
        <v>4000</v>
      </c>
      <c r="W36" s="197">
        <f t="shared" si="26"/>
        <v>0</v>
      </c>
      <c r="X36" s="197">
        <f t="shared" si="27"/>
        <v>0</v>
      </c>
      <c r="Y36" s="197">
        <f t="shared" si="31"/>
        <v>10000</v>
      </c>
    </row>
    <row r="37" spans="1:25" x14ac:dyDescent="0.4">
      <c r="E37" s="514"/>
      <c r="F37" s="116"/>
      <c r="K37" s="197">
        <v>12000</v>
      </c>
      <c r="L37" s="197">
        <v>5000</v>
      </c>
      <c r="M37" s="197">
        <v>1000</v>
      </c>
      <c r="N37" s="197">
        <f>K37-L37-M37</f>
        <v>6000</v>
      </c>
      <c r="O37" s="197">
        <f>K37-L37-M37-N37</f>
        <v>0</v>
      </c>
      <c r="Q37" s="197">
        <f t="shared" si="30"/>
        <v>12000</v>
      </c>
      <c r="S37" s="197">
        <v>12000</v>
      </c>
      <c r="T37" s="197">
        <f t="shared" si="29"/>
        <v>5000</v>
      </c>
      <c r="U37" s="197">
        <f t="shared" si="24"/>
        <v>1000</v>
      </c>
      <c r="V37" s="197">
        <f t="shared" si="25"/>
        <v>6000</v>
      </c>
      <c r="W37" s="197">
        <f t="shared" si="26"/>
        <v>0</v>
      </c>
      <c r="X37" s="197">
        <f t="shared" si="27"/>
        <v>0</v>
      </c>
      <c r="Y37" s="197">
        <f t="shared" si="31"/>
        <v>12000</v>
      </c>
    </row>
    <row r="38" spans="1:25" x14ac:dyDescent="0.4">
      <c r="E38" s="514"/>
      <c r="F38" s="116"/>
      <c r="K38" s="197">
        <v>14000</v>
      </c>
      <c r="L38" s="197">
        <v>5000</v>
      </c>
      <c r="M38" s="197">
        <v>1000</v>
      </c>
      <c r="N38" s="197">
        <f t="shared" ref="N38:N41" si="32">K38-L38-M38</f>
        <v>8000</v>
      </c>
      <c r="O38" s="197">
        <f>K38-L38-M38-N38</f>
        <v>0</v>
      </c>
      <c r="Q38" s="197">
        <f t="shared" si="30"/>
        <v>14000</v>
      </c>
      <c r="S38" s="197">
        <v>14000</v>
      </c>
      <c r="T38" s="197">
        <f t="shared" si="29"/>
        <v>5000</v>
      </c>
      <c r="U38" s="197">
        <f t="shared" si="24"/>
        <v>1000</v>
      </c>
      <c r="V38" s="197">
        <f t="shared" si="25"/>
        <v>8000</v>
      </c>
      <c r="W38" s="197">
        <f t="shared" si="26"/>
        <v>0</v>
      </c>
      <c r="X38" s="197">
        <f t="shared" si="27"/>
        <v>0</v>
      </c>
      <c r="Y38" s="197">
        <f t="shared" si="31"/>
        <v>14000</v>
      </c>
    </row>
    <row r="39" spans="1:25" x14ac:dyDescent="0.4">
      <c r="E39" s="514"/>
      <c r="F39" s="116"/>
      <c r="K39" s="197">
        <v>16000</v>
      </c>
      <c r="L39" s="197">
        <v>5000</v>
      </c>
      <c r="M39" s="197">
        <v>1000</v>
      </c>
      <c r="N39" s="197">
        <f t="shared" si="32"/>
        <v>10000</v>
      </c>
      <c r="O39" s="197">
        <f>K39-L39-M39-N39</f>
        <v>0</v>
      </c>
      <c r="Q39" s="197">
        <f t="shared" si="30"/>
        <v>16000</v>
      </c>
      <c r="S39" s="197">
        <v>16000</v>
      </c>
      <c r="T39" s="197">
        <f t="shared" si="29"/>
        <v>5000</v>
      </c>
      <c r="U39" s="197">
        <f t="shared" si="24"/>
        <v>1000</v>
      </c>
      <c r="V39" s="197">
        <f t="shared" si="25"/>
        <v>10000</v>
      </c>
      <c r="W39" s="197">
        <f t="shared" si="26"/>
        <v>0</v>
      </c>
      <c r="X39" s="197">
        <f t="shared" si="27"/>
        <v>0</v>
      </c>
      <c r="Y39" s="197">
        <f t="shared" si="31"/>
        <v>16000</v>
      </c>
    </row>
    <row r="40" spans="1:25" x14ac:dyDescent="0.4">
      <c r="E40" s="514"/>
      <c r="F40" s="116"/>
      <c r="K40" s="197">
        <v>18000</v>
      </c>
      <c r="L40" s="197">
        <v>5000</v>
      </c>
      <c r="M40" s="197">
        <v>1000</v>
      </c>
      <c r="N40" s="197">
        <f t="shared" si="32"/>
        <v>12000</v>
      </c>
      <c r="O40" s="197">
        <f t="shared" ref="O40:O41" si="33">K40-L40-M40-N40</f>
        <v>0</v>
      </c>
      <c r="P40" s="197">
        <f>K40-L40-M40-N40-O40</f>
        <v>0</v>
      </c>
      <c r="Q40" s="197">
        <f t="shared" si="30"/>
        <v>18000</v>
      </c>
      <c r="S40" s="197">
        <v>18000</v>
      </c>
      <c r="T40" s="197">
        <f t="shared" si="29"/>
        <v>5000</v>
      </c>
      <c r="U40" s="197">
        <f t="shared" si="24"/>
        <v>1000</v>
      </c>
      <c r="V40" s="197">
        <f t="shared" si="25"/>
        <v>12000</v>
      </c>
      <c r="W40" s="197">
        <f t="shared" si="26"/>
        <v>0</v>
      </c>
      <c r="X40" s="197">
        <f t="shared" si="27"/>
        <v>0</v>
      </c>
      <c r="Y40" s="197">
        <f t="shared" si="31"/>
        <v>18000</v>
      </c>
    </row>
    <row r="41" spans="1:25" x14ac:dyDescent="0.4">
      <c r="E41" s="514"/>
      <c r="F41" s="116"/>
      <c r="K41" s="197">
        <v>20000</v>
      </c>
      <c r="L41" s="197">
        <v>5000</v>
      </c>
      <c r="M41" s="197">
        <v>1000</v>
      </c>
      <c r="N41" s="197">
        <f t="shared" si="32"/>
        <v>14000</v>
      </c>
      <c r="O41" s="197">
        <f t="shared" si="33"/>
        <v>0</v>
      </c>
      <c r="P41" s="197">
        <f>+K41-L41-M41-N41-O41</f>
        <v>0</v>
      </c>
      <c r="Q41" s="197">
        <f t="shared" si="30"/>
        <v>20000</v>
      </c>
      <c r="S41" s="197">
        <v>20000</v>
      </c>
      <c r="T41" s="197">
        <f t="shared" si="29"/>
        <v>5000</v>
      </c>
      <c r="U41" s="197">
        <f t="shared" si="24"/>
        <v>1000</v>
      </c>
      <c r="V41" s="197">
        <f t="shared" si="25"/>
        <v>14000</v>
      </c>
      <c r="W41" s="197">
        <f t="shared" si="26"/>
        <v>0</v>
      </c>
      <c r="X41" s="197">
        <f t="shared" si="27"/>
        <v>0</v>
      </c>
      <c r="Y41" s="197">
        <f t="shared" si="31"/>
        <v>20000</v>
      </c>
    </row>
    <row r="42" spans="1:25" x14ac:dyDescent="0.4">
      <c r="E42" s="514"/>
      <c r="F42" s="116"/>
    </row>
    <row r="43" spans="1:25" x14ac:dyDescent="0.4">
      <c r="E43" s="514"/>
      <c r="F43" s="116"/>
      <c r="K43" s="197">
        <v>2000</v>
      </c>
      <c r="L43" s="138">
        <f>L31</f>
        <v>45.25</v>
      </c>
      <c r="M43" s="138"/>
      <c r="N43" s="138"/>
      <c r="O43" s="138"/>
      <c r="P43" s="138"/>
      <c r="Q43" s="138">
        <f>SUM(L43:P43)</f>
        <v>45.25</v>
      </c>
      <c r="S43" s="197">
        <v>2000</v>
      </c>
      <c r="T43" s="138">
        <f>T31</f>
        <v>51.89</v>
      </c>
      <c r="U43" s="138"/>
      <c r="V43" s="138"/>
      <c r="W43" s="138"/>
      <c r="X43" s="138"/>
      <c r="Y43" s="138">
        <f>SUM(T43:X43)</f>
        <v>51.89</v>
      </c>
    </row>
    <row r="44" spans="1:25" x14ac:dyDescent="0.4">
      <c r="E44" s="514"/>
      <c r="F44" s="116"/>
      <c r="K44" s="197">
        <v>4000</v>
      </c>
      <c r="L44" s="138">
        <f>L43</f>
        <v>45.25</v>
      </c>
      <c r="M44" s="138">
        <f>M33*M$31</f>
        <v>0</v>
      </c>
      <c r="N44" s="138">
        <f t="shared" ref="N44:P44" si="34">N33*N$31</f>
        <v>0</v>
      </c>
      <c r="O44" s="138">
        <f t="shared" si="34"/>
        <v>0</v>
      </c>
      <c r="P44" s="138">
        <f t="shared" si="34"/>
        <v>0</v>
      </c>
      <c r="Q44" s="138">
        <f t="shared" ref="Q44:Q52" si="35">SUM(L44:P44)</f>
        <v>45.25</v>
      </c>
      <c r="S44" s="197">
        <v>4000</v>
      </c>
      <c r="T44" s="138">
        <f>T43</f>
        <v>51.89</v>
      </c>
      <c r="U44" s="138">
        <f>U33*U$31</f>
        <v>0</v>
      </c>
      <c r="V44" s="138">
        <f t="shared" ref="V44:X44" si="36">V33*V$31</f>
        <v>0</v>
      </c>
      <c r="W44" s="138">
        <f t="shared" si="36"/>
        <v>0</v>
      </c>
      <c r="X44" s="138">
        <f t="shared" si="36"/>
        <v>0</v>
      </c>
      <c r="Y44" s="138">
        <f t="shared" ref="Y44:Y52" si="37">SUM(T44:X44)</f>
        <v>51.89</v>
      </c>
    </row>
    <row r="45" spans="1:25" x14ac:dyDescent="0.4">
      <c r="E45" s="514"/>
      <c r="F45" s="116"/>
      <c r="K45" s="197">
        <v>6000</v>
      </c>
      <c r="L45" s="138">
        <f t="shared" ref="L45:L52" si="38">L44</f>
        <v>45.25</v>
      </c>
      <c r="M45" s="138">
        <f t="shared" ref="M45:P52" si="39">M34*M$31</f>
        <v>6.8900000000000006</v>
      </c>
      <c r="N45" s="138">
        <f t="shared" si="39"/>
        <v>0</v>
      </c>
      <c r="O45" s="138">
        <f t="shared" si="39"/>
        <v>0</v>
      </c>
      <c r="P45" s="138">
        <f t="shared" si="39"/>
        <v>0</v>
      </c>
      <c r="Q45" s="138">
        <f t="shared" si="35"/>
        <v>52.14</v>
      </c>
      <c r="S45" s="197">
        <v>6000</v>
      </c>
      <c r="T45" s="138">
        <f t="shared" ref="T45:T52" si="40">T44</f>
        <v>51.89</v>
      </c>
      <c r="U45" s="138">
        <f t="shared" ref="U45:X45" si="41">U34*U$31</f>
        <v>7.91</v>
      </c>
      <c r="V45" s="138">
        <f t="shared" si="41"/>
        <v>0</v>
      </c>
      <c r="W45" s="138">
        <f t="shared" si="41"/>
        <v>0</v>
      </c>
      <c r="X45" s="138">
        <f t="shared" si="41"/>
        <v>0</v>
      </c>
      <c r="Y45" s="138">
        <f t="shared" si="37"/>
        <v>59.8</v>
      </c>
    </row>
    <row r="46" spans="1:25" x14ac:dyDescent="0.4">
      <c r="E46" s="514"/>
      <c r="F46" s="116"/>
      <c r="K46" s="197">
        <v>8000</v>
      </c>
      <c r="L46" s="138">
        <f t="shared" si="38"/>
        <v>45.25</v>
      </c>
      <c r="M46" s="138">
        <f t="shared" si="39"/>
        <v>6.8900000000000006</v>
      </c>
      <c r="N46" s="138">
        <f t="shared" si="39"/>
        <v>12.24</v>
      </c>
      <c r="O46" s="138">
        <f t="shared" si="39"/>
        <v>0</v>
      </c>
      <c r="P46" s="138">
        <f t="shared" si="39"/>
        <v>0</v>
      </c>
      <c r="Q46" s="138">
        <f t="shared" si="35"/>
        <v>64.38</v>
      </c>
      <c r="S46" s="197">
        <v>8000</v>
      </c>
      <c r="T46" s="138">
        <f t="shared" si="40"/>
        <v>51.89</v>
      </c>
      <c r="U46" s="138">
        <f t="shared" ref="U46:X46" si="42">U35*U$31</f>
        <v>7.91</v>
      </c>
      <c r="V46" s="138">
        <f t="shared" si="42"/>
        <v>14.040000000000001</v>
      </c>
      <c r="W46" s="138">
        <f t="shared" si="42"/>
        <v>0</v>
      </c>
      <c r="X46" s="138">
        <f t="shared" si="42"/>
        <v>0</v>
      </c>
      <c r="Y46" s="138">
        <f t="shared" si="37"/>
        <v>73.84</v>
      </c>
    </row>
    <row r="47" spans="1:25" x14ac:dyDescent="0.4">
      <c r="E47" s="514"/>
      <c r="F47" s="116"/>
      <c r="K47" s="197">
        <v>10000</v>
      </c>
      <c r="L47" s="138">
        <f t="shared" si="38"/>
        <v>45.25</v>
      </c>
      <c r="M47" s="138">
        <f t="shared" si="39"/>
        <v>6.8900000000000006</v>
      </c>
      <c r="N47" s="138">
        <f t="shared" si="39"/>
        <v>24.48</v>
      </c>
      <c r="O47" s="138">
        <f t="shared" si="39"/>
        <v>0</v>
      </c>
      <c r="P47" s="138">
        <f t="shared" si="39"/>
        <v>0</v>
      </c>
      <c r="Q47" s="138">
        <f t="shared" si="35"/>
        <v>76.62</v>
      </c>
      <c r="S47" s="197">
        <v>10000</v>
      </c>
      <c r="T47" s="138">
        <f t="shared" si="40"/>
        <v>51.89</v>
      </c>
      <c r="U47" s="138">
        <f t="shared" ref="U47:X47" si="43">U36*U$31</f>
        <v>7.91</v>
      </c>
      <c r="V47" s="138">
        <f t="shared" si="43"/>
        <v>28.080000000000002</v>
      </c>
      <c r="W47" s="138">
        <f t="shared" si="43"/>
        <v>0</v>
      </c>
      <c r="X47" s="138">
        <f t="shared" si="43"/>
        <v>0</v>
      </c>
      <c r="Y47" s="138">
        <f t="shared" si="37"/>
        <v>87.88</v>
      </c>
    </row>
    <row r="48" spans="1:25" x14ac:dyDescent="0.4">
      <c r="E48" s="514"/>
      <c r="F48" s="116"/>
      <c r="K48" s="197">
        <v>12000</v>
      </c>
      <c r="L48" s="138">
        <f t="shared" si="38"/>
        <v>45.25</v>
      </c>
      <c r="M48" s="138">
        <f t="shared" si="39"/>
        <v>6.8900000000000006</v>
      </c>
      <c r="N48" s="138">
        <f t="shared" si="39"/>
        <v>36.720000000000006</v>
      </c>
      <c r="O48" s="138">
        <f t="shared" si="39"/>
        <v>0</v>
      </c>
      <c r="P48" s="138">
        <f t="shared" si="39"/>
        <v>0</v>
      </c>
      <c r="Q48" s="138">
        <f t="shared" si="35"/>
        <v>88.860000000000014</v>
      </c>
      <c r="S48" s="197">
        <v>12000</v>
      </c>
      <c r="T48" s="138">
        <f t="shared" si="40"/>
        <v>51.89</v>
      </c>
      <c r="U48" s="138">
        <f t="shared" ref="U48:X48" si="44">U37*U$31</f>
        <v>7.91</v>
      </c>
      <c r="V48" s="138">
        <f t="shared" si="44"/>
        <v>42.120000000000005</v>
      </c>
      <c r="W48" s="138">
        <f t="shared" si="44"/>
        <v>0</v>
      </c>
      <c r="X48" s="138">
        <f t="shared" si="44"/>
        <v>0</v>
      </c>
      <c r="Y48" s="138">
        <f t="shared" si="37"/>
        <v>101.92</v>
      </c>
    </row>
    <row r="49" spans="1:25" x14ac:dyDescent="0.4">
      <c r="E49" s="514"/>
      <c r="F49" s="116"/>
      <c r="K49" s="197">
        <v>14000</v>
      </c>
      <c r="L49" s="138">
        <f t="shared" si="38"/>
        <v>45.25</v>
      </c>
      <c r="M49" s="138">
        <f t="shared" si="39"/>
        <v>6.8900000000000006</v>
      </c>
      <c r="N49" s="138">
        <f t="shared" si="39"/>
        <v>48.96</v>
      </c>
      <c r="O49" s="138">
        <f t="shared" si="39"/>
        <v>0</v>
      </c>
      <c r="P49" s="138">
        <f t="shared" si="39"/>
        <v>0</v>
      </c>
      <c r="Q49" s="138">
        <f t="shared" si="35"/>
        <v>101.1</v>
      </c>
      <c r="S49" s="197">
        <v>14000</v>
      </c>
      <c r="T49" s="138">
        <f t="shared" si="40"/>
        <v>51.89</v>
      </c>
      <c r="U49" s="138">
        <f t="shared" ref="U49:X49" si="45">U38*U$31</f>
        <v>7.91</v>
      </c>
      <c r="V49" s="138">
        <f t="shared" si="45"/>
        <v>56.160000000000004</v>
      </c>
      <c r="W49" s="138">
        <f t="shared" si="45"/>
        <v>0</v>
      </c>
      <c r="X49" s="138">
        <f t="shared" si="45"/>
        <v>0</v>
      </c>
      <c r="Y49" s="138">
        <f t="shared" si="37"/>
        <v>115.96000000000001</v>
      </c>
    </row>
    <row r="50" spans="1:25" x14ac:dyDescent="0.4">
      <c r="E50" s="514"/>
      <c r="F50" s="116"/>
      <c r="K50" s="197">
        <v>16000</v>
      </c>
      <c r="L50" s="138">
        <f t="shared" si="38"/>
        <v>45.25</v>
      </c>
      <c r="M50" s="138">
        <f t="shared" si="39"/>
        <v>6.8900000000000006</v>
      </c>
      <c r="N50" s="138">
        <f t="shared" si="39"/>
        <v>61.2</v>
      </c>
      <c r="O50" s="138">
        <f t="shared" si="39"/>
        <v>0</v>
      </c>
      <c r="P50" s="138">
        <f t="shared" si="39"/>
        <v>0</v>
      </c>
      <c r="Q50" s="138">
        <f t="shared" si="35"/>
        <v>113.34</v>
      </c>
      <c r="S50" s="197">
        <v>16000</v>
      </c>
      <c r="T50" s="138">
        <f t="shared" si="40"/>
        <v>51.89</v>
      </c>
      <c r="U50" s="138">
        <f t="shared" ref="U50:X50" si="46">U39*U$31</f>
        <v>7.91</v>
      </c>
      <c r="V50" s="138">
        <f t="shared" si="46"/>
        <v>70.2</v>
      </c>
      <c r="W50" s="138">
        <f t="shared" si="46"/>
        <v>0</v>
      </c>
      <c r="X50" s="138">
        <f t="shared" si="46"/>
        <v>0</v>
      </c>
      <c r="Y50" s="138">
        <f t="shared" si="37"/>
        <v>130</v>
      </c>
    </row>
    <row r="51" spans="1:25" x14ac:dyDescent="0.4">
      <c r="E51" s="514"/>
      <c r="F51" s="116"/>
      <c r="K51" s="197">
        <v>18000</v>
      </c>
      <c r="L51" s="138">
        <f t="shared" si="38"/>
        <v>45.25</v>
      </c>
      <c r="M51" s="138">
        <f t="shared" si="39"/>
        <v>6.8900000000000006</v>
      </c>
      <c r="N51" s="138">
        <f t="shared" si="39"/>
        <v>73.440000000000012</v>
      </c>
      <c r="O51" s="138">
        <f t="shared" si="39"/>
        <v>0</v>
      </c>
      <c r="P51" s="138">
        <f t="shared" si="39"/>
        <v>0</v>
      </c>
      <c r="Q51" s="138">
        <f t="shared" si="35"/>
        <v>125.58000000000001</v>
      </c>
      <c r="S51" s="197">
        <v>18000</v>
      </c>
      <c r="T51" s="138">
        <f t="shared" si="40"/>
        <v>51.89</v>
      </c>
      <c r="U51" s="138">
        <f t="shared" ref="U51:X51" si="47">U40*U$31</f>
        <v>7.91</v>
      </c>
      <c r="V51" s="138">
        <f t="shared" si="47"/>
        <v>84.240000000000009</v>
      </c>
      <c r="W51" s="138">
        <f t="shared" si="47"/>
        <v>0</v>
      </c>
      <c r="X51" s="138">
        <f t="shared" si="47"/>
        <v>0</v>
      </c>
      <c r="Y51" s="138">
        <f t="shared" si="37"/>
        <v>144.04000000000002</v>
      </c>
    </row>
    <row r="52" spans="1:25" x14ac:dyDescent="0.4">
      <c r="E52" s="514"/>
      <c r="F52" s="116"/>
      <c r="K52" s="197">
        <v>20000</v>
      </c>
      <c r="L52" s="138">
        <f t="shared" si="38"/>
        <v>45.25</v>
      </c>
      <c r="M52" s="138">
        <f t="shared" si="39"/>
        <v>6.8900000000000006</v>
      </c>
      <c r="N52" s="138">
        <f t="shared" si="39"/>
        <v>85.68</v>
      </c>
      <c r="O52" s="138">
        <f t="shared" si="39"/>
        <v>0</v>
      </c>
      <c r="P52" s="138">
        <f t="shared" si="39"/>
        <v>0</v>
      </c>
      <c r="Q52" s="138">
        <f t="shared" si="35"/>
        <v>137.82</v>
      </c>
      <c r="S52" s="197">
        <v>20000</v>
      </c>
      <c r="T52" s="138">
        <f t="shared" si="40"/>
        <v>51.89</v>
      </c>
      <c r="U52" s="138">
        <f t="shared" ref="U52:X52" si="48">U41*U$31</f>
        <v>7.91</v>
      </c>
      <c r="V52" s="138">
        <f t="shared" si="48"/>
        <v>98.28</v>
      </c>
      <c r="W52" s="138">
        <f t="shared" si="48"/>
        <v>0</v>
      </c>
      <c r="X52" s="138">
        <f t="shared" si="48"/>
        <v>0</v>
      </c>
      <c r="Y52" s="138">
        <f t="shared" si="37"/>
        <v>158.07999999999998</v>
      </c>
    </row>
    <row r="53" spans="1:25" x14ac:dyDescent="0.4">
      <c r="C53"/>
      <c r="D53"/>
      <c r="E53"/>
      <c r="F53"/>
      <c r="G53"/>
      <c r="H53"/>
      <c r="I53"/>
      <c r="J53"/>
    </row>
    <row r="54" spans="1:25" x14ac:dyDescent="0.4">
      <c r="C54"/>
      <c r="D54"/>
      <c r="E54"/>
      <c r="F54"/>
      <c r="G54"/>
      <c r="H54"/>
      <c r="I54"/>
      <c r="J54"/>
    </row>
    <row r="55" spans="1:25" x14ac:dyDescent="0.4">
      <c r="C55"/>
      <c r="D55"/>
      <c r="E55"/>
      <c r="F55"/>
      <c r="G55"/>
      <c r="H55"/>
      <c r="I55"/>
      <c r="J55"/>
    </row>
    <row r="56" spans="1:25" x14ac:dyDescent="0.4">
      <c r="C56"/>
      <c r="D56"/>
      <c r="E56"/>
      <c r="F56"/>
      <c r="G56"/>
      <c r="H56"/>
      <c r="I56"/>
      <c r="J56"/>
    </row>
    <row r="57" spans="1:25" x14ac:dyDescent="0.4">
      <c r="C57"/>
      <c r="D57"/>
      <c r="E57"/>
      <c r="F57"/>
      <c r="G57"/>
      <c r="H57"/>
      <c r="I57"/>
      <c r="J57"/>
    </row>
    <row r="58" spans="1:25" x14ac:dyDescent="0.4">
      <c r="C58"/>
      <c r="D58"/>
      <c r="E58"/>
      <c r="F58"/>
      <c r="G58"/>
      <c r="H58"/>
      <c r="I58"/>
      <c r="J58"/>
    </row>
    <row r="59" spans="1:25" x14ac:dyDescent="0.4">
      <c r="C59"/>
      <c r="D59"/>
      <c r="E59"/>
      <c r="F59"/>
      <c r="G59"/>
      <c r="H59"/>
      <c r="I59"/>
      <c r="J59"/>
    </row>
    <row r="60" spans="1:25" x14ac:dyDescent="0.4">
      <c r="C60"/>
      <c r="D60"/>
      <c r="E60"/>
      <c r="F60"/>
      <c r="G60"/>
      <c r="H60"/>
      <c r="I60"/>
      <c r="J60"/>
    </row>
    <row r="62" spans="1:25" x14ac:dyDescent="0.4">
      <c r="C62" s="512"/>
      <c r="I62" s="513"/>
      <c r="K62" s="686" t="s">
        <v>660</v>
      </c>
      <c r="L62" s="686"/>
      <c r="M62" s="686"/>
      <c r="N62" s="686"/>
      <c r="O62" s="686"/>
      <c r="P62" s="686"/>
      <c r="Q62" s="686"/>
      <c r="S62" s="686" t="s">
        <v>660</v>
      </c>
      <c r="T62" s="686"/>
      <c r="U62" s="686"/>
      <c r="V62" s="686"/>
      <c r="W62" s="686"/>
      <c r="X62" s="686"/>
      <c r="Y62" s="686"/>
    </row>
    <row r="63" spans="1:25" ht="15.75" x14ac:dyDescent="0.5">
      <c r="A63" s="116" t="s">
        <v>334</v>
      </c>
      <c r="B63" s="142"/>
      <c r="D63" s="403"/>
      <c r="E63" s="402"/>
      <c r="F63" s="29"/>
      <c r="H63" s="142"/>
      <c r="I63" s="116"/>
      <c r="J63" s="403"/>
      <c r="L63" s="142">
        <v>5000</v>
      </c>
      <c r="M63" s="142">
        <v>1000</v>
      </c>
      <c r="N63" s="142">
        <v>44000</v>
      </c>
      <c r="O63" s="142">
        <v>50000</v>
      </c>
      <c r="P63" s="142">
        <f>SUM(L63:O63)</f>
        <v>100000</v>
      </c>
      <c r="T63" s="142">
        <v>5000</v>
      </c>
      <c r="U63" s="142">
        <v>1000</v>
      </c>
      <c r="V63" s="142">
        <v>44000</v>
      </c>
      <c r="W63" s="142">
        <v>50000</v>
      </c>
      <c r="X63" s="142">
        <f>SUM(T63:W63)</f>
        <v>100000</v>
      </c>
    </row>
    <row r="64" spans="1:25" ht="15.75" x14ac:dyDescent="0.5">
      <c r="A64" s="116" t="s">
        <v>51</v>
      </c>
      <c r="B64" s="142">
        <v>5000</v>
      </c>
      <c r="C64" s="116" t="s">
        <v>188</v>
      </c>
      <c r="D64" s="404" t="e">
        <f>#REF!</f>
        <v>#REF!</v>
      </c>
      <c r="E64" s="402" t="s">
        <v>241</v>
      </c>
      <c r="F64" s="29"/>
      <c r="G64" s="404" t="e">
        <f>#REF!</f>
        <v>#REF!</v>
      </c>
      <c r="H64" s="402" t="s">
        <v>241</v>
      </c>
      <c r="I64" s="116"/>
      <c r="L64" s="404" t="e">
        <f>D64</f>
        <v>#REF!</v>
      </c>
      <c r="M64" s="405" t="e">
        <f>D65</f>
        <v>#REF!</v>
      </c>
      <c r="N64" s="405" t="e">
        <f>D66</f>
        <v>#REF!</v>
      </c>
      <c r="O64" s="405" t="e">
        <f>D67</f>
        <v>#REF!</v>
      </c>
      <c r="P64" s="405" t="e">
        <f>D68</f>
        <v>#REF!</v>
      </c>
      <c r="T64" s="404" t="e">
        <f>G64</f>
        <v>#REF!</v>
      </c>
      <c r="U64" s="405" t="e">
        <f>G65</f>
        <v>#REF!</v>
      </c>
      <c r="V64" s="405" t="e">
        <f>G66</f>
        <v>#REF!</v>
      </c>
      <c r="W64" s="405" t="e">
        <f>G67</f>
        <v>#REF!</v>
      </c>
      <c r="X64" s="405" t="e">
        <f>G68</f>
        <v>#REF!</v>
      </c>
    </row>
    <row r="65" spans="1:25" ht="15.75" x14ac:dyDescent="0.5">
      <c r="A65" s="116" t="s">
        <v>52</v>
      </c>
      <c r="B65" s="142">
        <v>1000</v>
      </c>
      <c r="C65" s="116" t="s">
        <v>188</v>
      </c>
      <c r="D65" s="405" t="e">
        <f>#REF!</f>
        <v>#REF!</v>
      </c>
      <c r="E65" s="402" t="s">
        <v>240</v>
      </c>
      <c r="F65" s="29"/>
      <c r="G65" s="405" t="e">
        <f>#REF!</f>
        <v>#REF!</v>
      </c>
      <c r="H65" s="402" t="s">
        <v>240</v>
      </c>
      <c r="I65" s="116"/>
      <c r="K65" s="197">
        <v>2000</v>
      </c>
      <c r="L65" s="197">
        <v>2000</v>
      </c>
      <c r="S65" s="197">
        <v>2000</v>
      </c>
      <c r="T65" s="197">
        <f>L65</f>
        <v>2000</v>
      </c>
      <c r="U65" s="197">
        <f t="shared" ref="U65:X74" si="49">M65</f>
        <v>0</v>
      </c>
      <c r="V65" s="197">
        <f t="shared" si="49"/>
        <v>0</v>
      </c>
      <c r="W65" s="197">
        <f t="shared" si="49"/>
        <v>0</v>
      </c>
      <c r="X65" s="197">
        <f t="shared" si="49"/>
        <v>0</v>
      </c>
    </row>
    <row r="66" spans="1:25" ht="15.75" x14ac:dyDescent="0.5">
      <c r="A66" s="116" t="s">
        <v>52</v>
      </c>
      <c r="B66" s="142">
        <v>44000</v>
      </c>
      <c r="C66" s="116" t="s">
        <v>188</v>
      </c>
      <c r="D66" s="405" t="e">
        <f>#REF!</f>
        <v>#REF!</v>
      </c>
      <c r="E66" s="402" t="s">
        <v>240</v>
      </c>
      <c r="F66" s="29"/>
      <c r="G66" s="405" t="e">
        <f>#REF!</f>
        <v>#REF!</v>
      </c>
      <c r="H66" s="402" t="s">
        <v>240</v>
      </c>
      <c r="I66" s="116"/>
      <c r="K66" s="197">
        <v>4000</v>
      </c>
      <c r="L66" s="197">
        <f>K66</f>
        <v>4000</v>
      </c>
      <c r="M66" s="142">
        <f>K66-L66</f>
        <v>0</v>
      </c>
      <c r="Q66" s="197">
        <f>SUM(L66:P66)</f>
        <v>4000</v>
      </c>
      <c r="S66" s="197">
        <v>4000</v>
      </c>
      <c r="T66" s="197">
        <f t="shared" ref="T66:T74" si="50">L66</f>
        <v>4000</v>
      </c>
      <c r="U66" s="197">
        <f t="shared" si="49"/>
        <v>0</v>
      </c>
      <c r="V66" s="197">
        <f t="shared" si="49"/>
        <v>0</v>
      </c>
      <c r="W66" s="197">
        <f t="shared" si="49"/>
        <v>0</v>
      </c>
      <c r="X66" s="197">
        <f t="shared" si="49"/>
        <v>0</v>
      </c>
      <c r="Y66" s="197">
        <f>SUM(T66:X66)</f>
        <v>4000</v>
      </c>
    </row>
    <row r="67" spans="1:25" ht="15.75" x14ac:dyDescent="0.5">
      <c r="A67" s="116" t="s">
        <v>52</v>
      </c>
      <c r="B67" s="142">
        <v>50000</v>
      </c>
      <c r="C67" s="116" t="s">
        <v>188</v>
      </c>
      <c r="D67" s="405" t="e">
        <f>#REF!</f>
        <v>#REF!</v>
      </c>
      <c r="E67" s="402" t="s">
        <v>240</v>
      </c>
      <c r="F67" s="29"/>
      <c r="G67" s="405" t="e">
        <f>#REF!</f>
        <v>#REF!</v>
      </c>
      <c r="H67" s="402" t="s">
        <v>240</v>
      </c>
      <c r="I67" s="116"/>
      <c r="K67" s="197">
        <v>6000</v>
      </c>
      <c r="L67" s="197">
        <f>L63</f>
        <v>5000</v>
      </c>
      <c r="M67" s="197">
        <f>K67-L67</f>
        <v>1000</v>
      </c>
      <c r="N67" s="197">
        <f>K67-L67-M67</f>
        <v>0</v>
      </c>
      <c r="Q67" s="197">
        <f t="shared" ref="Q67:Q74" si="51">SUM(L67:P67)</f>
        <v>6000</v>
      </c>
      <c r="S67" s="197">
        <v>6000</v>
      </c>
      <c r="T67" s="197">
        <f t="shared" si="50"/>
        <v>5000</v>
      </c>
      <c r="U67" s="197">
        <f t="shared" si="49"/>
        <v>1000</v>
      </c>
      <c r="V67" s="197">
        <f t="shared" si="49"/>
        <v>0</v>
      </c>
      <c r="W67" s="197">
        <f t="shared" si="49"/>
        <v>0</v>
      </c>
      <c r="X67" s="197">
        <f t="shared" si="49"/>
        <v>0</v>
      </c>
      <c r="Y67" s="197">
        <f t="shared" ref="Y67:Y74" si="52">SUM(T67:X67)</f>
        <v>6000</v>
      </c>
    </row>
    <row r="68" spans="1:25" ht="15.75" x14ac:dyDescent="0.5">
      <c r="A68" s="116" t="s">
        <v>114</v>
      </c>
      <c r="B68" s="142">
        <f>SUM(B64:B67)</f>
        <v>100000</v>
      </c>
      <c r="C68" s="116" t="s">
        <v>188</v>
      </c>
      <c r="D68" s="405" t="e">
        <f>#REF!</f>
        <v>#REF!</v>
      </c>
      <c r="E68" s="402" t="s">
        <v>240</v>
      </c>
      <c r="F68" s="29"/>
      <c r="G68" s="405" t="e">
        <f>#REF!</f>
        <v>#REF!</v>
      </c>
      <c r="H68" s="402" t="s">
        <v>240</v>
      </c>
      <c r="I68" s="116"/>
      <c r="K68" s="197">
        <v>8000</v>
      </c>
      <c r="L68" s="197">
        <v>5000</v>
      </c>
      <c r="M68" s="197">
        <v>1000</v>
      </c>
      <c r="N68" s="197">
        <f>K68-L68-M68</f>
        <v>2000</v>
      </c>
      <c r="Q68" s="197">
        <f t="shared" si="51"/>
        <v>8000</v>
      </c>
      <c r="S68" s="197">
        <v>8000</v>
      </c>
      <c r="T68" s="197">
        <f t="shared" si="50"/>
        <v>5000</v>
      </c>
      <c r="U68" s="197">
        <f t="shared" si="49"/>
        <v>1000</v>
      </c>
      <c r="V68" s="197">
        <f t="shared" si="49"/>
        <v>2000</v>
      </c>
      <c r="W68" s="197">
        <f t="shared" si="49"/>
        <v>0</v>
      </c>
      <c r="X68" s="197">
        <f t="shared" si="49"/>
        <v>0</v>
      </c>
      <c r="Y68" s="197">
        <f t="shared" si="52"/>
        <v>8000</v>
      </c>
    </row>
    <row r="69" spans="1:25" x14ac:dyDescent="0.4">
      <c r="E69" s="514"/>
      <c r="F69" s="116"/>
      <c r="K69" s="197">
        <v>10000</v>
      </c>
      <c r="L69" s="197">
        <v>5000</v>
      </c>
      <c r="M69" s="197">
        <v>1000</v>
      </c>
      <c r="N69" s="197">
        <f>K69-L69-M69</f>
        <v>4000</v>
      </c>
      <c r="Q69" s="197">
        <f t="shared" si="51"/>
        <v>10000</v>
      </c>
      <c r="S69" s="197">
        <v>10000</v>
      </c>
      <c r="T69" s="197">
        <f t="shared" si="50"/>
        <v>5000</v>
      </c>
      <c r="U69" s="197">
        <f t="shared" si="49"/>
        <v>1000</v>
      </c>
      <c r="V69" s="197">
        <f t="shared" si="49"/>
        <v>4000</v>
      </c>
      <c r="W69" s="197">
        <f t="shared" si="49"/>
        <v>0</v>
      </c>
      <c r="X69" s="197">
        <f t="shared" si="49"/>
        <v>0</v>
      </c>
      <c r="Y69" s="197">
        <f t="shared" si="52"/>
        <v>10000</v>
      </c>
    </row>
    <row r="70" spans="1:25" x14ac:dyDescent="0.4">
      <c r="E70" s="514"/>
      <c r="F70" s="116"/>
      <c r="K70" s="197">
        <v>12000</v>
      </c>
      <c r="L70" s="197">
        <v>5000</v>
      </c>
      <c r="M70" s="197">
        <v>1000</v>
      </c>
      <c r="N70" s="197">
        <f>K70-L70-M70</f>
        <v>6000</v>
      </c>
      <c r="O70" s="197">
        <f>K70-L70-M70-N70</f>
        <v>0</v>
      </c>
      <c r="Q70" s="197">
        <f t="shared" si="51"/>
        <v>12000</v>
      </c>
      <c r="S70" s="197">
        <v>12000</v>
      </c>
      <c r="T70" s="197">
        <f t="shared" si="50"/>
        <v>5000</v>
      </c>
      <c r="U70" s="197">
        <f t="shared" si="49"/>
        <v>1000</v>
      </c>
      <c r="V70" s="197">
        <f t="shared" si="49"/>
        <v>6000</v>
      </c>
      <c r="W70" s="197">
        <f t="shared" si="49"/>
        <v>0</v>
      </c>
      <c r="X70" s="197">
        <f t="shared" si="49"/>
        <v>0</v>
      </c>
      <c r="Y70" s="197">
        <f t="shared" si="52"/>
        <v>12000</v>
      </c>
    </row>
    <row r="71" spans="1:25" x14ac:dyDescent="0.4">
      <c r="E71" s="514"/>
      <c r="F71" s="116"/>
      <c r="K71" s="197">
        <v>14000</v>
      </c>
      <c r="L71" s="197">
        <v>5000</v>
      </c>
      <c r="M71" s="197">
        <v>1000</v>
      </c>
      <c r="N71" s="197">
        <f t="shared" ref="N71:N74" si="53">K71-L71-M71</f>
        <v>8000</v>
      </c>
      <c r="O71" s="197">
        <f>K71-L71-M71-N71</f>
        <v>0</v>
      </c>
      <c r="Q71" s="197">
        <f t="shared" si="51"/>
        <v>14000</v>
      </c>
      <c r="S71" s="197">
        <v>14000</v>
      </c>
      <c r="T71" s="197">
        <f t="shared" si="50"/>
        <v>5000</v>
      </c>
      <c r="U71" s="197">
        <f t="shared" si="49"/>
        <v>1000</v>
      </c>
      <c r="V71" s="197">
        <f t="shared" si="49"/>
        <v>8000</v>
      </c>
      <c r="W71" s="197">
        <f t="shared" si="49"/>
        <v>0</v>
      </c>
      <c r="X71" s="197">
        <f t="shared" si="49"/>
        <v>0</v>
      </c>
      <c r="Y71" s="197">
        <f t="shared" si="52"/>
        <v>14000</v>
      </c>
    </row>
    <row r="72" spans="1:25" x14ac:dyDescent="0.4">
      <c r="E72" s="514"/>
      <c r="F72" s="116"/>
      <c r="K72" s="197">
        <v>16000</v>
      </c>
      <c r="L72" s="197">
        <v>5000</v>
      </c>
      <c r="M72" s="197">
        <v>1000</v>
      </c>
      <c r="N72" s="197">
        <f t="shared" si="53"/>
        <v>10000</v>
      </c>
      <c r="O72" s="197">
        <f>K72-L72-M72-N72</f>
        <v>0</v>
      </c>
      <c r="Q72" s="197">
        <f t="shared" si="51"/>
        <v>16000</v>
      </c>
      <c r="S72" s="197">
        <v>16000</v>
      </c>
      <c r="T72" s="197">
        <f t="shared" si="50"/>
        <v>5000</v>
      </c>
      <c r="U72" s="197">
        <f t="shared" si="49"/>
        <v>1000</v>
      </c>
      <c r="V72" s="197">
        <f t="shared" si="49"/>
        <v>10000</v>
      </c>
      <c r="W72" s="197">
        <f t="shared" si="49"/>
        <v>0</v>
      </c>
      <c r="X72" s="197">
        <f t="shared" si="49"/>
        <v>0</v>
      </c>
      <c r="Y72" s="197">
        <f t="shared" si="52"/>
        <v>16000</v>
      </c>
    </row>
    <row r="73" spans="1:25" x14ac:dyDescent="0.4">
      <c r="E73" s="514"/>
      <c r="F73" s="116"/>
      <c r="K73" s="197">
        <v>18000</v>
      </c>
      <c r="L73" s="197">
        <v>5000</v>
      </c>
      <c r="M73" s="197">
        <v>1000</v>
      </c>
      <c r="N73" s="197">
        <f t="shared" si="53"/>
        <v>12000</v>
      </c>
      <c r="O73" s="197">
        <f t="shared" ref="O73:O74" si="54">K73-L73-M73-N73</f>
        <v>0</v>
      </c>
      <c r="P73" s="197">
        <f>K73-L73-M73-N73-O73</f>
        <v>0</v>
      </c>
      <c r="Q73" s="197">
        <f t="shared" si="51"/>
        <v>18000</v>
      </c>
      <c r="S73" s="197">
        <v>18000</v>
      </c>
      <c r="T73" s="197">
        <f t="shared" si="50"/>
        <v>5000</v>
      </c>
      <c r="U73" s="197">
        <f t="shared" si="49"/>
        <v>1000</v>
      </c>
      <c r="V73" s="197">
        <f t="shared" si="49"/>
        <v>12000</v>
      </c>
      <c r="W73" s="197">
        <f t="shared" si="49"/>
        <v>0</v>
      </c>
      <c r="X73" s="197">
        <f t="shared" si="49"/>
        <v>0</v>
      </c>
      <c r="Y73" s="197">
        <f t="shared" si="52"/>
        <v>18000</v>
      </c>
    </row>
    <row r="74" spans="1:25" x14ac:dyDescent="0.4">
      <c r="E74" s="514"/>
      <c r="F74" s="116"/>
      <c r="K74" s="197">
        <v>20000</v>
      </c>
      <c r="L74" s="197">
        <v>5000</v>
      </c>
      <c r="M74" s="197">
        <v>1000</v>
      </c>
      <c r="N74" s="197">
        <f t="shared" si="53"/>
        <v>14000</v>
      </c>
      <c r="O74" s="197">
        <f t="shared" si="54"/>
        <v>0</v>
      </c>
      <c r="P74" s="197">
        <f>+K74-L74-M74-N74-O74</f>
        <v>0</v>
      </c>
      <c r="Q74" s="197">
        <f t="shared" si="51"/>
        <v>20000</v>
      </c>
      <c r="S74" s="197">
        <v>20000</v>
      </c>
      <c r="T74" s="197">
        <f t="shared" si="50"/>
        <v>5000</v>
      </c>
      <c r="U74" s="197">
        <f t="shared" si="49"/>
        <v>1000</v>
      </c>
      <c r="V74" s="197">
        <f t="shared" si="49"/>
        <v>14000</v>
      </c>
      <c r="W74" s="197">
        <f t="shared" si="49"/>
        <v>0</v>
      </c>
      <c r="X74" s="197">
        <f t="shared" si="49"/>
        <v>0</v>
      </c>
      <c r="Y74" s="197">
        <f t="shared" si="52"/>
        <v>20000</v>
      </c>
    </row>
    <row r="75" spans="1:25" x14ac:dyDescent="0.4">
      <c r="E75" s="514"/>
      <c r="F75" s="116"/>
    </row>
    <row r="76" spans="1:25" x14ac:dyDescent="0.4">
      <c r="E76" s="514"/>
      <c r="F76" s="116"/>
      <c r="K76" s="197">
        <v>2000</v>
      </c>
      <c r="L76" s="138" t="e">
        <f>L64</f>
        <v>#REF!</v>
      </c>
      <c r="M76" s="138"/>
      <c r="N76" s="138"/>
      <c r="O76" s="138"/>
      <c r="P76" s="138"/>
      <c r="Q76" s="138" t="e">
        <f>SUM(L76:P76)</f>
        <v>#REF!</v>
      </c>
      <c r="S76" s="197">
        <v>2000</v>
      </c>
      <c r="T76" s="138" t="e">
        <f>T64</f>
        <v>#REF!</v>
      </c>
      <c r="U76" s="138"/>
      <c r="V76" s="138"/>
      <c r="W76" s="138"/>
      <c r="X76" s="138"/>
      <c r="Y76" s="138" t="e">
        <f>SUM(T76:X76)</f>
        <v>#REF!</v>
      </c>
    </row>
    <row r="77" spans="1:25" x14ac:dyDescent="0.4">
      <c r="E77" s="514"/>
      <c r="F77" s="116"/>
      <c r="K77" s="197">
        <v>4000</v>
      </c>
      <c r="L77" s="138" t="e">
        <f>L76</f>
        <v>#REF!</v>
      </c>
      <c r="M77" s="138" t="e">
        <f>M66*M$64</f>
        <v>#REF!</v>
      </c>
      <c r="N77" s="138"/>
      <c r="O77" s="138"/>
      <c r="P77" s="138"/>
      <c r="Q77" s="138" t="e">
        <f t="shared" ref="Q77:Q85" si="55">SUM(L77:P77)</f>
        <v>#REF!</v>
      </c>
      <c r="S77" s="197">
        <v>4000</v>
      </c>
      <c r="T77" s="138" t="e">
        <f>T76</f>
        <v>#REF!</v>
      </c>
      <c r="U77" s="138" t="e">
        <f>U66*U$64</f>
        <v>#REF!</v>
      </c>
      <c r="V77" s="138"/>
      <c r="W77" s="138"/>
      <c r="X77" s="138"/>
      <c r="Y77" s="138" t="e">
        <f t="shared" ref="Y77:Y85" si="56">SUM(T77:X77)</f>
        <v>#REF!</v>
      </c>
    </row>
    <row r="78" spans="1:25" x14ac:dyDescent="0.4">
      <c r="E78" s="514"/>
      <c r="F78" s="116"/>
      <c r="K78" s="197">
        <v>6000</v>
      </c>
      <c r="L78" s="138" t="e">
        <f t="shared" ref="L78:L85" si="57">L77</f>
        <v>#REF!</v>
      </c>
      <c r="M78" s="138" t="e">
        <f t="shared" ref="M78:P85" si="58">M67*M$64</f>
        <v>#REF!</v>
      </c>
      <c r="N78" s="138" t="e">
        <f t="shared" si="58"/>
        <v>#REF!</v>
      </c>
      <c r="O78" s="138"/>
      <c r="P78" s="138"/>
      <c r="Q78" s="138" t="e">
        <f t="shared" si="55"/>
        <v>#REF!</v>
      </c>
      <c r="S78" s="197">
        <v>6000</v>
      </c>
      <c r="T78" s="138" t="e">
        <f t="shared" ref="T78:T85" si="59">T77</f>
        <v>#REF!</v>
      </c>
      <c r="U78" s="138" t="e">
        <f t="shared" ref="U78:X85" si="60">U67*U$64</f>
        <v>#REF!</v>
      </c>
      <c r="V78" s="138" t="e">
        <f t="shared" si="60"/>
        <v>#REF!</v>
      </c>
      <c r="W78" s="138"/>
      <c r="X78" s="138"/>
      <c r="Y78" s="138" t="e">
        <f t="shared" si="56"/>
        <v>#REF!</v>
      </c>
    </row>
    <row r="79" spans="1:25" x14ac:dyDescent="0.4">
      <c r="E79" s="514"/>
      <c r="F79" s="116"/>
      <c r="K79" s="197">
        <v>8000</v>
      </c>
      <c r="L79" s="138" t="e">
        <f t="shared" si="57"/>
        <v>#REF!</v>
      </c>
      <c r="M79" s="138" t="e">
        <f t="shared" si="58"/>
        <v>#REF!</v>
      </c>
      <c r="N79" s="138" t="e">
        <f t="shared" si="58"/>
        <v>#REF!</v>
      </c>
      <c r="O79" s="138"/>
      <c r="P79" s="138"/>
      <c r="Q79" s="138" t="e">
        <f t="shared" si="55"/>
        <v>#REF!</v>
      </c>
      <c r="S79" s="197">
        <v>8000</v>
      </c>
      <c r="T79" s="138" t="e">
        <f t="shared" si="59"/>
        <v>#REF!</v>
      </c>
      <c r="U79" s="138" t="e">
        <f t="shared" si="60"/>
        <v>#REF!</v>
      </c>
      <c r="V79" s="138" t="e">
        <f t="shared" si="60"/>
        <v>#REF!</v>
      </c>
      <c r="W79" s="138"/>
      <c r="X79" s="138"/>
      <c r="Y79" s="138" t="e">
        <f t="shared" si="56"/>
        <v>#REF!</v>
      </c>
    </row>
    <row r="80" spans="1:25" x14ac:dyDescent="0.4">
      <c r="E80" s="514"/>
      <c r="F80" s="116"/>
      <c r="K80" s="197">
        <v>10000</v>
      </c>
      <c r="L80" s="138" t="e">
        <f t="shared" si="57"/>
        <v>#REF!</v>
      </c>
      <c r="M80" s="138" t="e">
        <f t="shared" si="58"/>
        <v>#REF!</v>
      </c>
      <c r="N80" s="138" t="e">
        <f t="shared" si="58"/>
        <v>#REF!</v>
      </c>
      <c r="O80" s="138"/>
      <c r="P80" s="138"/>
      <c r="Q80" s="138" t="e">
        <f t="shared" si="55"/>
        <v>#REF!</v>
      </c>
      <c r="S80" s="197">
        <v>10000</v>
      </c>
      <c r="T80" s="138" t="e">
        <f t="shared" si="59"/>
        <v>#REF!</v>
      </c>
      <c r="U80" s="138" t="e">
        <f t="shared" si="60"/>
        <v>#REF!</v>
      </c>
      <c r="V80" s="138" t="e">
        <f t="shared" si="60"/>
        <v>#REF!</v>
      </c>
      <c r="W80" s="138"/>
      <c r="X80" s="138"/>
      <c r="Y80" s="138" t="e">
        <f t="shared" si="56"/>
        <v>#REF!</v>
      </c>
    </row>
    <row r="81" spans="5:25" x14ac:dyDescent="0.4">
      <c r="E81" s="514"/>
      <c r="F81" s="116"/>
      <c r="K81" s="197">
        <v>12000</v>
      </c>
      <c r="L81" s="138" t="e">
        <f t="shared" si="57"/>
        <v>#REF!</v>
      </c>
      <c r="M81" s="138" t="e">
        <f t="shared" si="58"/>
        <v>#REF!</v>
      </c>
      <c r="N81" s="138" t="e">
        <f t="shared" si="58"/>
        <v>#REF!</v>
      </c>
      <c r="O81" s="138" t="e">
        <f t="shared" si="58"/>
        <v>#REF!</v>
      </c>
      <c r="P81" s="138"/>
      <c r="Q81" s="138" t="e">
        <f t="shared" si="55"/>
        <v>#REF!</v>
      </c>
      <c r="S81" s="197">
        <v>12000</v>
      </c>
      <c r="T81" s="138" t="e">
        <f t="shared" si="59"/>
        <v>#REF!</v>
      </c>
      <c r="U81" s="138" t="e">
        <f t="shared" si="60"/>
        <v>#REF!</v>
      </c>
      <c r="V81" s="138" t="e">
        <f t="shared" si="60"/>
        <v>#REF!</v>
      </c>
      <c r="W81" s="138" t="e">
        <f t="shared" si="60"/>
        <v>#REF!</v>
      </c>
      <c r="X81" s="138"/>
      <c r="Y81" s="138" t="e">
        <f t="shared" si="56"/>
        <v>#REF!</v>
      </c>
    </row>
    <row r="82" spans="5:25" x14ac:dyDescent="0.4">
      <c r="E82" s="514"/>
      <c r="F82" s="116"/>
      <c r="K82" s="197">
        <v>14000</v>
      </c>
      <c r="L82" s="138" t="e">
        <f t="shared" si="57"/>
        <v>#REF!</v>
      </c>
      <c r="M82" s="138" t="e">
        <f t="shared" si="58"/>
        <v>#REF!</v>
      </c>
      <c r="N82" s="138" t="e">
        <f t="shared" si="58"/>
        <v>#REF!</v>
      </c>
      <c r="O82" s="138" t="e">
        <f t="shared" si="58"/>
        <v>#REF!</v>
      </c>
      <c r="P82" s="138"/>
      <c r="Q82" s="138" t="e">
        <f t="shared" si="55"/>
        <v>#REF!</v>
      </c>
      <c r="S82" s="197">
        <v>14000</v>
      </c>
      <c r="T82" s="138" t="e">
        <f t="shared" si="59"/>
        <v>#REF!</v>
      </c>
      <c r="U82" s="138" t="e">
        <f t="shared" si="60"/>
        <v>#REF!</v>
      </c>
      <c r="V82" s="138" t="e">
        <f t="shared" si="60"/>
        <v>#REF!</v>
      </c>
      <c r="W82" s="138" t="e">
        <f t="shared" si="60"/>
        <v>#REF!</v>
      </c>
      <c r="X82" s="138"/>
      <c r="Y82" s="138" t="e">
        <f t="shared" si="56"/>
        <v>#REF!</v>
      </c>
    </row>
    <row r="83" spans="5:25" x14ac:dyDescent="0.4">
      <c r="E83" s="514"/>
      <c r="F83" s="116"/>
      <c r="K83" s="197">
        <v>16000</v>
      </c>
      <c r="L83" s="138" t="e">
        <f t="shared" si="57"/>
        <v>#REF!</v>
      </c>
      <c r="M83" s="138" t="e">
        <f t="shared" si="58"/>
        <v>#REF!</v>
      </c>
      <c r="N83" s="138" t="e">
        <f t="shared" si="58"/>
        <v>#REF!</v>
      </c>
      <c r="O83" s="138" t="e">
        <f t="shared" si="58"/>
        <v>#REF!</v>
      </c>
      <c r="P83" s="138"/>
      <c r="Q83" s="138" t="e">
        <f t="shared" si="55"/>
        <v>#REF!</v>
      </c>
      <c r="S83" s="197">
        <v>16000</v>
      </c>
      <c r="T83" s="138" t="e">
        <f t="shared" si="59"/>
        <v>#REF!</v>
      </c>
      <c r="U83" s="138" t="e">
        <f t="shared" si="60"/>
        <v>#REF!</v>
      </c>
      <c r="V83" s="138" t="e">
        <f t="shared" si="60"/>
        <v>#REF!</v>
      </c>
      <c r="W83" s="138" t="e">
        <f t="shared" si="60"/>
        <v>#REF!</v>
      </c>
      <c r="X83" s="138"/>
      <c r="Y83" s="138" t="e">
        <f t="shared" si="56"/>
        <v>#REF!</v>
      </c>
    </row>
    <row r="84" spans="5:25" x14ac:dyDescent="0.4">
      <c r="E84" s="514"/>
      <c r="F84" s="116"/>
      <c r="K84" s="197">
        <v>18000</v>
      </c>
      <c r="L84" s="138" t="e">
        <f t="shared" si="57"/>
        <v>#REF!</v>
      </c>
      <c r="M84" s="138" t="e">
        <f t="shared" si="58"/>
        <v>#REF!</v>
      </c>
      <c r="N84" s="138" t="e">
        <f t="shared" si="58"/>
        <v>#REF!</v>
      </c>
      <c r="O84" s="138" t="e">
        <f t="shared" si="58"/>
        <v>#REF!</v>
      </c>
      <c r="P84" s="138" t="e">
        <f t="shared" si="58"/>
        <v>#REF!</v>
      </c>
      <c r="Q84" s="138" t="e">
        <f t="shared" si="55"/>
        <v>#REF!</v>
      </c>
      <c r="S84" s="197">
        <v>18000</v>
      </c>
      <c r="T84" s="138" t="e">
        <f t="shared" si="59"/>
        <v>#REF!</v>
      </c>
      <c r="U84" s="138" t="e">
        <f t="shared" si="60"/>
        <v>#REF!</v>
      </c>
      <c r="V84" s="138" t="e">
        <f t="shared" si="60"/>
        <v>#REF!</v>
      </c>
      <c r="W84" s="138" t="e">
        <f t="shared" si="60"/>
        <v>#REF!</v>
      </c>
      <c r="X84" s="138" t="e">
        <f t="shared" si="60"/>
        <v>#REF!</v>
      </c>
      <c r="Y84" s="138" t="e">
        <f t="shared" si="56"/>
        <v>#REF!</v>
      </c>
    </row>
    <row r="85" spans="5:25" x14ac:dyDescent="0.4">
      <c r="E85" s="514"/>
      <c r="F85" s="116"/>
      <c r="K85" s="197">
        <v>20000</v>
      </c>
      <c r="L85" s="138" t="e">
        <f t="shared" si="57"/>
        <v>#REF!</v>
      </c>
      <c r="M85" s="138" t="e">
        <f t="shared" si="58"/>
        <v>#REF!</v>
      </c>
      <c r="N85" s="138" t="e">
        <f t="shared" si="58"/>
        <v>#REF!</v>
      </c>
      <c r="O85" s="138" t="e">
        <f t="shared" si="58"/>
        <v>#REF!</v>
      </c>
      <c r="P85" s="138" t="e">
        <f t="shared" si="58"/>
        <v>#REF!</v>
      </c>
      <c r="Q85" s="138" t="e">
        <f t="shared" si="55"/>
        <v>#REF!</v>
      </c>
      <c r="S85" s="197">
        <v>20000</v>
      </c>
      <c r="T85" s="138" t="e">
        <f t="shared" si="59"/>
        <v>#REF!</v>
      </c>
      <c r="U85" s="138" t="e">
        <f t="shared" si="60"/>
        <v>#REF!</v>
      </c>
      <c r="V85" s="138" t="e">
        <f t="shared" si="60"/>
        <v>#REF!</v>
      </c>
      <c r="W85" s="138" t="e">
        <f t="shared" si="60"/>
        <v>#REF!</v>
      </c>
      <c r="X85" s="138" t="e">
        <f t="shared" si="60"/>
        <v>#REF!</v>
      </c>
      <c r="Y85" s="138" t="e">
        <f t="shared" si="56"/>
        <v>#REF!</v>
      </c>
    </row>
    <row r="86" spans="5:25" x14ac:dyDescent="0.4">
      <c r="E86" s="514"/>
      <c r="F86" s="116"/>
    </row>
    <row r="87" spans="5:25" x14ac:dyDescent="0.4">
      <c r="E87" s="514"/>
      <c r="F87" s="116"/>
    </row>
    <row r="88" spans="5:25" x14ac:dyDescent="0.4">
      <c r="E88" s="514"/>
      <c r="F88" s="116"/>
    </row>
  </sheetData>
  <mergeCells count="12">
    <mergeCell ref="K62:Q62"/>
    <mergeCell ref="S62:Y62"/>
    <mergeCell ref="A1:Z1"/>
    <mergeCell ref="L2:R2"/>
    <mergeCell ref="T2:Z2"/>
    <mergeCell ref="A28:Z28"/>
    <mergeCell ref="D3:E3"/>
    <mergeCell ref="G3:I3"/>
    <mergeCell ref="D30:E30"/>
    <mergeCell ref="G30:I30"/>
    <mergeCell ref="K29:Q29"/>
    <mergeCell ref="S29:Y29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14FA-2D5C-42BC-91DF-65EFBA84AD33}">
  <dimension ref="A1:Z39"/>
  <sheetViews>
    <sheetView topLeftCell="G1" workbookViewId="0">
      <selection activeCell="K22" sqref="K22:Y22"/>
    </sheetView>
  </sheetViews>
  <sheetFormatPr defaultRowHeight="15" x14ac:dyDescent="0.4"/>
  <cols>
    <col min="3" max="3" width="8.10937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11.44140625" style="197" bestFit="1" customWidth="1"/>
    <col min="12" max="14" width="10.44140625" style="197" bestFit="1" customWidth="1"/>
    <col min="15" max="15" width="11.44140625" style="197" bestFit="1" customWidth="1"/>
    <col min="18" max="18" width="11.44140625" style="197" bestFit="1" customWidth="1"/>
    <col min="19" max="21" width="10.44140625" style="197" bestFit="1" customWidth="1"/>
    <col min="22" max="22" width="11.44140625" style="197" bestFit="1" customWidth="1"/>
  </cols>
  <sheetData>
    <row r="1" spans="1:26" ht="20.65" x14ac:dyDescent="0.6">
      <c r="A1" s="685" t="s">
        <v>689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</row>
    <row r="2" spans="1:26" x14ac:dyDescent="0.4">
      <c r="C2" s="512"/>
      <c r="I2" s="513"/>
      <c r="K2" s="686" t="s">
        <v>660</v>
      </c>
      <c r="L2" s="686"/>
      <c r="M2" s="686"/>
      <c r="N2" s="686"/>
      <c r="O2" s="686"/>
      <c r="P2" s="686"/>
      <c r="R2" s="686" t="s">
        <v>660</v>
      </c>
      <c r="S2" s="686"/>
      <c r="T2" s="686"/>
      <c r="U2" s="686"/>
      <c r="V2" s="686"/>
      <c r="W2" s="686"/>
    </row>
    <row r="3" spans="1:26" ht="15.75" x14ac:dyDescent="0.5">
      <c r="A3" s="116" t="s">
        <v>350</v>
      </c>
      <c r="B3" s="142"/>
      <c r="D3" s="684" t="s">
        <v>660</v>
      </c>
      <c r="E3" s="684"/>
      <c r="F3" s="14"/>
      <c r="G3" s="657" t="s">
        <v>696</v>
      </c>
      <c r="H3" s="657"/>
      <c r="I3" s="657"/>
      <c r="J3" s="403"/>
      <c r="L3" s="142">
        <v>10000</v>
      </c>
      <c r="M3" s="142">
        <v>40000</v>
      </c>
      <c r="N3" s="142">
        <v>50000</v>
      </c>
      <c r="O3" s="142">
        <f>SUM(K3:N3)</f>
        <v>100000</v>
      </c>
      <c r="S3" s="142">
        <v>10000</v>
      </c>
      <c r="T3" s="142">
        <v>40000</v>
      </c>
      <c r="U3" s="142">
        <v>50000</v>
      </c>
      <c r="V3" s="142">
        <f>SUM(R3:U3)</f>
        <v>100000</v>
      </c>
    </row>
    <row r="4" spans="1:26" ht="15.75" x14ac:dyDescent="0.5">
      <c r="A4" s="116" t="s">
        <v>51</v>
      </c>
      <c r="B4" s="142">
        <v>10000</v>
      </c>
      <c r="C4" s="116" t="s">
        <v>188</v>
      </c>
      <c r="D4" s="404">
        <f>'Table C'!F23</f>
        <v>69.11</v>
      </c>
      <c r="E4" s="402" t="s">
        <v>241</v>
      </c>
      <c r="F4" s="29"/>
      <c r="G4" s="404">
        <f>'Table C'!I23</f>
        <v>80.849999999999994</v>
      </c>
      <c r="H4" s="402" t="s">
        <v>241</v>
      </c>
      <c r="I4" s="116"/>
      <c r="L4" s="404">
        <f>D4</f>
        <v>69.11</v>
      </c>
      <c r="M4" s="405">
        <f>D5</f>
        <v>5.2399999999999999E-3</v>
      </c>
      <c r="N4" s="405">
        <f>D6</f>
        <v>4.5100000000000001E-3</v>
      </c>
      <c r="O4" s="405">
        <f>D7</f>
        <v>3.7599999999999999E-3</v>
      </c>
      <c r="S4" s="404">
        <f>G4</f>
        <v>80.849999999999994</v>
      </c>
      <c r="T4" s="405">
        <f>G5</f>
        <v>6.1200000000000004E-3</v>
      </c>
      <c r="U4" s="405">
        <f>G6</f>
        <v>5.2700000000000004E-3</v>
      </c>
      <c r="V4" s="405">
        <f>G7</f>
        <v>4.3900000000000007E-3</v>
      </c>
    </row>
    <row r="5" spans="1:26" ht="15.75" x14ac:dyDescent="0.5">
      <c r="A5" s="116" t="s">
        <v>52</v>
      </c>
      <c r="B5" s="142">
        <v>40000</v>
      </c>
      <c r="C5" s="116" t="s">
        <v>188</v>
      </c>
      <c r="D5" s="405">
        <f>'Table C'!F24</f>
        <v>5.2399999999999999E-3</v>
      </c>
      <c r="E5" s="402" t="s">
        <v>240</v>
      </c>
      <c r="F5" s="29"/>
      <c r="G5" s="405">
        <f>'Table C'!I24</f>
        <v>6.1200000000000004E-3</v>
      </c>
      <c r="H5" s="402" t="s">
        <v>240</v>
      </c>
      <c r="I5" s="116"/>
      <c r="K5" s="197">
        <v>5000</v>
      </c>
      <c r="L5" s="197">
        <f>K5</f>
        <v>5000</v>
      </c>
      <c r="R5" s="197">
        <v>5000</v>
      </c>
      <c r="S5" s="197">
        <f t="shared" ref="S5:S10" si="0">L5</f>
        <v>5000</v>
      </c>
      <c r="T5" s="197">
        <f t="shared" ref="T5:T10" si="1">M5</f>
        <v>0</v>
      </c>
      <c r="U5" s="197">
        <f t="shared" ref="U5:U10" si="2">N5</f>
        <v>0</v>
      </c>
      <c r="V5" s="197">
        <f t="shared" ref="V5:V10" si="3">O5</f>
        <v>0</v>
      </c>
    </row>
    <row r="6" spans="1:26" ht="15.75" x14ac:dyDescent="0.5">
      <c r="A6" s="116" t="s">
        <v>52</v>
      </c>
      <c r="B6" s="142">
        <v>50000</v>
      </c>
      <c r="C6" s="116" t="s">
        <v>188</v>
      </c>
      <c r="D6" s="405">
        <f>'Table C'!F25</f>
        <v>4.5100000000000001E-3</v>
      </c>
      <c r="E6" s="402" t="s">
        <v>240</v>
      </c>
      <c r="F6" s="29"/>
      <c r="G6" s="405">
        <f>'Table C'!I25</f>
        <v>5.2700000000000004E-3</v>
      </c>
      <c r="H6" s="402" t="s">
        <v>240</v>
      </c>
      <c r="I6" s="116"/>
      <c r="K6" s="197">
        <v>10000</v>
      </c>
      <c r="L6" s="197">
        <v>10000</v>
      </c>
      <c r="M6" s="142">
        <f>K6-L6</f>
        <v>0</v>
      </c>
      <c r="P6" s="197">
        <f>SUM(L6:O6)</f>
        <v>10000</v>
      </c>
      <c r="R6" s="197">
        <v>10000</v>
      </c>
      <c r="S6" s="197">
        <f t="shared" si="0"/>
        <v>10000</v>
      </c>
      <c r="T6" s="197">
        <f t="shared" si="1"/>
        <v>0</v>
      </c>
      <c r="U6" s="197">
        <f t="shared" si="2"/>
        <v>0</v>
      </c>
      <c r="V6" s="197">
        <f t="shared" si="3"/>
        <v>0</v>
      </c>
      <c r="W6" s="197">
        <f>SUM(S6:V6)</f>
        <v>10000</v>
      </c>
    </row>
    <row r="7" spans="1:26" ht="15.75" x14ac:dyDescent="0.5">
      <c r="A7" s="116" t="s">
        <v>114</v>
      </c>
      <c r="B7" s="142">
        <f>SUM(B3:B6)</f>
        <v>100000</v>
      </c>
      <c r="C7" s="116" t="s">
        <v>188</v>
      </c>
      <c r="D7" s="405">
        <f>'Table C'!F26</f>
        <v>3.7599999999999999E-3</v>
      </c>
      <c r="E7" s="402" t="s">
        <v>240</v>
      </c>
      <c r="F7" s="29"/>
      <c r="G7" s="405">
        <f>'Table C'!I26</f>
        <v>4.3900000000000007E-3</v>
      </c>
      <c r="H7" s="402" t="s">
        <v>240</v>
      </c>
      <c r="I7" s="116"/>
      <c r="K7" s="197">
        <v>15000</v>
      </c>
      <c r="L7" s="197">
        <f t="shared" ref="L7:L10" si="4">L6</f>
        <v>10000</v>
      </c>
      <c r="M7" s="197">
        <f>K7-L7</f>
        <v>5000</v>
      </c>
      <c r="N7" s="197">
        <f>K7-L7-M7</f>
        <v>0</v>
      </c>
      <c r="P7" s="197">
        <f>SUM(L7:O7)</f>
        <v>15000</v>
      </c>
      <c r="R7" s="197">
        <v>15000</v>
      </c>
      <c r="S7" s="197">
        <f t="shared" si="0"/>
        <v>10000</v>
      </c>
      <c r="T7" s="197">
        <f t="shared" si="1"/>
        <v>5000</v>
      </c>
      <c r="U7" s="197">
        <f t="shared" si="2"/>
        <v>0</v>
      </c>
      <c r="V7" s="197">
        <f t="shared" si="3"/>
        <v>0</v>
      </c>
      <c r="W7" s="197">
        <f>SUM(S7:V7)</f>
        <v>15000</v>
      </c>
    </row>
    <row r="8" spans="1:26" x14ac:dyDescent="0.4">
      <c r="K8" s="197">
        <v>20000</v>
      </c>
      <c r="L8" s="197">
        <f t="shared" si="4"/>
        <v>10000</v>
      </c>
      <c r="M8" s="197">
        <f t="shared" ref="M8:M10" si="5">K8-L8</f>
        <v>10000</v>
      </c>
      <c r="N8" s="197">
        <f>K8-L8-M8</f>
        <v>0</v>
      </c>
      <c r="P8" s="197">
        <f>SUM(L8:O8)</f>
        <v>20000</v>
      </c>
      <c r="R8" s="197">
        <v>20000</v>
      </c>
      <c r="S8" s="197">
        <f t="shared" si="0"/>
        <v>10000</v>
      </c>
      <c r="T8" s="197">
        <f t="shared" si="1"/>
        <v>10000</v>
      </c>
      <c r="U8" s="197">
        <f t="shared" si="2"/>
        <v>0</v>
      </c>
      <c r="V8" s="197">
        <f t="shared" si="3"/>
        <v>0</v>
      </c>
      <c r="W8" s="197">
        <f>SUM(S8:V8)</f>
        <v>20000</v>
      </c>
    </row>
    <row r="9" spans="1:26" x14ac:dyDescent="0.4">
      <c r="E9" s="514"/>
      <c r="F9" s="116"/>
      <c r="K9" s="197">
        <v>25000</v>
      </c>
      <c r="L9" s="197">
        <f t="shared" si="4"/>
        <v>10000</v>
      </c>
      <c r="M9" s="197">
        <f t="shared" si="5"/>
        <v>15000</v>
      </c>
      <c r="N9" s="197">
        <f>K9-L9-M9</f>
        <v>0</v>
      </c>
      <c r="P9" s="197">
        <f>SUM(L9:O9)</f>
        <v>25000</v>
      </c>
      <c r="R9" s="197">
        <v>25000</v>
      </c>
      <c r="S9" s="197">
        <f t="shared" si="0"/>
        <v>10000</v>
      </c>
      <c r="T9" s="197">
        <f t="shared" si="1"/>
        <v>15000</v>
      </c>
      <c r="U9" s="197">
        <f t="shared" si="2"/>
        <v>0</v>
      </c>
      <c r="V9" s="197">
        <f t="shared" si="3"/>
        <v>0</v>
      </c>
      <c r="W9" s="197">
        <f>SUM(S9:V9)</f>
        <v>25000</v>
      </c>
    </row>
    <row r="10" spans="1:26" x14ac:dyDescent="0.4">
      <c r="E10" s="514"/>
      <c r="F10" s="116"/>
      <c r="K10" s="197">
        <v>30000</v>
      </c>
      <c r="L10" s="197">
        <f t="shared" si="4"/>
        <v>10000</v>
      </c>
      <c r="M10" s="197">
        <f t="shared" si="5"/>
        <v>20000</v>
      </c>
      <c r="N10" s="197">
        <f>K10-L10-M10</f>
        <v>0</v>
      </c>
      <c r="P10" s="197">
        <f>SUM(L10:O10)</f>
        <v>30000</v>
      </c>
      <c r="R10" s="197">
        <v>30000</v>
      </c>
      <c r="S10" s="197">
        <f t="shared" si="0"/>
        <v>10000</v>
      </c>
      <c r="T10" s="197">
        <f t="shared" si="1"/>
        <v>20000</v>
      </c>
      <c r="U10" s="197">
        <f t="shared" si="2"/>
        <v>0</v>
      </c>
      <c r="V10" s="197">
        <f t="shared" si="3"/>
        <v>0</v>
      </c>
      <c r="W10" s="197">
        <f>SUM(S10:V10)</f>
        <v>30000</v>
      </c>
    </row>
    <row r="11" spans="1:26" x14ac:dyDescent="0.4">
      <c r="E11" s="514"/>
      <c r="F11" s="116"/>
    </row>
    <row r="12" spans="1:26" x14ac:dyDescent="0.4">
      <c r="E12" s="514"/>
      <c r="F12" s="116"/>
      <c r="K12" s="197">
        <v>5000</v>
      </c>
      <c r="L12" s="138">
        <f>L4</f>
        <v>69.11</v>
      </c>
      <c r="M12" s="138"/>
      <c r="N12" s="138"/>
      <c r="O12" s="138"/>
      <c r="P12" s="138">
        <f t="shared" ref="P12:P17" si="6">SUM(L12:O12)</f>
        <v>69.11</v>
      </c>
      <c r="R12" s="197">
        <v>5000</v>
      </c>
      <c r="S12" s="138">
        <f>S4</f>
        <v>80.849999999999994</v>
      </c>
      <c r="T12" s="138"/>
      <c r="U12" s="138"/>
      <c r="V12" s="138"/>
      <c r="W12" s="138">
        <f t="shared" ref="W12:W17" si="7">SUM(S12:V12)</f>
        <v>80.849999999999994</v>
      </c>
    </row>
    <row r="13" spans="1:26" x14ac:dyDescent="0.4">
      <c r="E13" s="514"/>
      <c r="F13" s="116"/>
      <c r="K13" s="197">
        <v>10000</v>
      </c>
      <c r="L13" s="138">
        <f>L12</f>
        <v>69.11</v>
      </c>
      <c r="M13" s="138">
        <f>M6*M$4</f>
        <v>0</v>
      </c>
      <c r="N13" s="138">
        <f t="shared" ref="N13:O13" si="8">N6*N$4</f>
        <v>0</v>
      </c>
      <c r="O13" s="138">
        <f t="shared" si="8"/>
        <v>0</v>
      </c>
      <c r="P13" s="138">
        <f t="shared" si="6"/>
        <v>69.11</v>
      </c>
      <c r="R13" s="197">
        <v>10000</v>
      </c>
      <c r="S13" s="138">
        <f>S12</f>
        <v>80.849999999999994</v>
      </c>
      <c r="T13" s="138">
        <f>T6*T$4</f>
        <v>0</v>
      </c>
      <c r="U13" s="138">
        <f t="shared" ref="U13:V13" si="9">U6*U$4</f>
        <v>0</v>
      </c>
      <c r="V13" s="138">
        <f t="shared" si="9"/>
        <v>0</v>
      </c>
      <c r="W13" s="138">
        <f t="shared" si="7"/>
        <v>80.849999999999994</v>
      </c>
    </row>
    <row r="14" spans="1:26" x14ac:dyDescent="0.4">
      <c r="E14" s="514"/>
      <c r="F14" s="116"/>
      <c r="K14" s="197">
        <v>15000</v>
      </c>
      <c r="L14" s="138">
        <f t="shared" ref="L14:L17" si="10">L13</f>
        <v>69.11</v>
      </c>
      <c r="M14" s="138">
        <f t="shared" ref="M14:O17" si="11">M7*M$4</f>
        <v>26.2</v>
      </c>
      <c r="N14" s="138">
        <f t="shared" si="11"/>
        <v>0</v>
      </c>
      <c r="O14" s="138">
        <f t="shared" si="11"/>
        <v>0</v>
      </c>
      <c r="P14" s="138">
        <f t="shared" si="6"/>
        <v>95.31</v>
      </c>
      <c r="R14" s="197">
        <v>15000</v>
      </c>
      <c r="S14" s="138">
        <f t="shared" ref="S14:S17" si="12">S13</f>
        <v>80.849999999999994</v>
      </c>
      <c r="T14" s="138">
        <f t="shared" ref="T14:V14" si="13">T7*T$4</f>
        <v>30.6</v>
      </c>
      <c r="U14" s="138">
        <f t="shared" si="13"/>
        <v>0</v>
      </c>
      <c r="V14" s="138">
        <f t="shared" si="13"/>
        <v>0</v>
      </c>
      <c r="W14" s="138">
        <f t="shared" si="7"/>
        <v>111.44999999999999</v>
      </c>
    </row>
    <row r="15" spans="1:26" x14ac:dyDescent="0.4">
      <c r="E15" s="514"/>
      <c r="F15" s="116"/>
      <c r="K15" s="197">
        <v>20000</v>
      </c>
      <c r="L15" s="138">
        <f t="shared" si="10"/>
        <v>69.11</v>
      </c>
      <c r="M15" s="138">
        <f t="shared" si="11"/>
        <v>52.4</v>
      </c>
      <c r="N15" s="138">
        <f t="shared" si="11"/>
        <v>0</v>
      </c>
      <c r="O15" s="138">
        <f t="shared" si="11"/>
        <v>0</v>
      </c>
      <c r="P15" s="138">
        <f t="shared" si="6"/>
        <v>121.50999999999999</v>
      </c>
      <c r="R15" s="197">
        <v>20000</v>
      </c>
      <c r="S15" s="138">
        <f t="shared" si="12"/>
        <v>80.849999999999994</v>
      </c>
      <c r="T15" s="138">
        <f t="shared" ref="T15:V15" si="14">T8*T$4</f>
        <v>61.2</v>
      </c>
      <c r="U15" s="138">
        <f t="shared" si="14"/>
        <v>0</v>
      </c>
      <c r="V15" s="138">
        <f t="shared" si="14"/>
        <v>0</v>
      </c>
      <c r="W15" s="138">
        <f t="shared" si="7"/>
        <v>142.05000000000001</v>
      </c>
    </row>
    <row r="16" spans="1:26" x14ac:dyDescent="0.4">
      <c r="E16" s="514"/>
      <c r="F16" s="116"/>
      <c r="K16" s="197">
        <v>25000</v>
      </c>
      <c r="L16" s="138">
        <f t="shared" si="10"/>
        <v>69.11</v>
      </c>
      <c r="M16" s="138">
        <f t="shared" si="11"/>
        <v>78.599999999999994</v>
      </c>
      <c r="N16" s="138">
        <f t="shared" si="11"/>
        <v>0</v>
      </c>
      <c r="O16" s="138">
        <f t="shared" si="11"/>
        <v>0</v>
      </c>
      <c r="P16" s="138">
        <f t="shared" si="6"/>
        <v>147.70999999999998</v>
      </c>
      <c r="R16" s="197">
        <v>25000</v>
      </c>
      <c r="S16" s="138">
        <f t="shared" si="12"/>
        <v>80.849999999999994</v>
      </c>
      <c r="T16" s="138">
        <f t="shared" ref="T16:V16" si="15">T9*T$4</f>
        <v>91.800000000000011</v>
      </c>
      <c r="U16" s="138">
        <f t="shared" si="15"/>
        <v>0</v>
      </c>
      <c r="V16" s="138">
        <f t="shared" si="15"/>
        <v>0</v>
      </c>
      <c r="W16" s="138">
        <f t="shared" si="7"/>
        <v>172.65</v>
      </c>
    </row>
    <row r="17" spans="1:26" x14ac:dyDescent="0.4">
      <c r="E17" s="514"/>
      <c r="F17" s="116"/>
      <c r="K17" s="197">
        <v>30000</v>
      </c>
      <c r="L17" s="138">
        <f t="shared" si="10"/>
        <v>69.11</v>
      </c>
      <c r="M17" s="138">
        <f t="shared" si="11"/>
        <v>104.8</v>
      </c>
      <c r="N17" s="138">
        <f t="shared" si="11"/>
        <v>0</v>
      </c>
      <c r="O17" s="138">
        <f t="shared" si="11"/>
        <v>0</v>
      </c>
      <c r="P17" s="138">
        <f t="shared" si="6"/>
        <v>173.91</v>
      </c>
      <c r="R17" s="197">
        <v>30000</v>
      </c>
      <c r="S17" s="138">
        <f t="shared" si="12"/>
        <v>80.849999999999994</v>
      </c>
      <c r="T17" s="138">
        <f t="shared" ref="T17:V17" si="16">T10*T$4</f>
        <v>122.4</v>
      </c>
      <c r="U17" s="138">
        <f t="shared" si="16"/>
        <v>0</v>
      </c>
      <c r="V17" s="138">
        <f t="shared" si="16"/>
        <v>0</v>
      </c>
      <c r="W17" s="138">
        <f t="shared" si="7"/>
        <v>203.25</v>
      </c>
    </row>
    <row r="21" spans="1:26" ht="20.65" x14ac:dyDescent="0.6">
      <c r="A21" s="685" t="s">
        <v>697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</row>
    <row r="22" spans="1:26" x14ac:dyDescent="0.4">
      <c r="C22" s="512"/>
      <c r="I22" s="513"/>
      <c r="K22" s="686" t="s">
        <v>700</v>
      </c>
      <c r="L22" s="686"/>
      <c r="M22" s="686"/>
      <c r="N22" s="686"/>
      <c r="O22" s="686"/>
      <c r="P22" s="686"/>
      <c r="Q22" s="686"/>
      <c r="R22"/>
      <c r="S22" s="686" t="s">
        <v>701</v>
      </c>
      <c r="T22" s="686"/>
      <c r="U22" s="686"/>
      <c r="V22" s="686"/>
      <c r="W22" s="686"/>
      <c r="X22" s="686"/>
      <c r="Y22" s="686"/>
    </row>
    <row r="23" spans="1:26" ht="15.75" x14ac:dyDescent="0.5">
      <c r="A23" s="116" t="s">
        <v>350</v>
      </c>
      <c r="B23" s="142"/>
      <c r="D23" s="684" t="s">
        <v>696</v>
      </c>
      <c r="E23" s="684"/>
      <c r="F23" s="14"/>
      <c r="G23" s="657" t="s">
        <v>702</v>
      </c>
      <c r="H23" s="657"/>
      <c r="I23" s="657"/>
      <c r="J23" s="403"/>
      <c r="L23" s="142">
        <v>10000</v>
      </c>
      <c r="M23" s="142">
        <v>40000</v>
      </c>
      <c r="N23" s="142">
        <v>50000</v>
      </c>
      <c r="O23" s="142">
        <f>SUM(K23:N23)</f>
        <v>100000</v>
      </c>
      <c r="S23" s="142">
        <v>10000</v>
      </c>
      <c r="T23" s="142">
        <v>40000</v>
      </c>
      <c r="U23" s="142">
        <v>50000</v>
      </c>
      <c r="V23" s="142">
        <f>SUM(R23:U23)</f>
        <v>100000</v>
      </c>
    </row>
    <row r="24" spans="1:26" ht="15.75" x14ac:dyDescent="0.5">
      <c r="A24" s="116" t="s">
        <v>51</v>
      </c>
      <c r="B24" s="142">
        <v>10000</v>
      </c>
      <c r="C24" s="116" t="s">
        <v>188</v>
      </c>
      <c r="D24" s="404">
        <f>G4</f>
        <v>80.849999999999994</v>
      </c>
      <c r="E24" s="402" t="s">
        <v>241</v>
      </c>
      <c r="F24" s="29"/>
      <c r="G24" s="404">
        <f>'Table C'!P23</f>
        <v>92.71</v>
      </c>
      <c r="H24" s="402" t="s">
        <v>241</v>
      </c>
      <c r="I24" s="116"/>
      <c r="L24" s="404">
        <f>D24</f>
        <v>80.849999999999994</v>
      </c>
      <c r="M24" s="405">
        <f>D25</f>
        <v>6.1200000000000004E-3</v>
      </c>
      <c r="N24" s="405">
        <f>D26</f>
        <v>5.2700000000000004E-3</v>
      </c>
      <c r="O24" s="405">
        <f>D27</f>
        <v>4.3900000000000007E-3</v>
      </c>
      <c r="S24" s="404">
        <f>G24</f>
        <v>92.71</v>
      </c>
      <c r="T24" s="405">
        <f>G25</f>
        <v>7.0200000000000002E-3</v>
      </c>
      <c r="U24" s="405">
        <f>G26</f>
        <v>6.0400000000000002E-3</v>
      </c>
      <c r="V24" s="405">
        <f>G27</f>
        <v>5.0300000000000006E-3</v>
      </c>
    </row>
    <row r="25" spans="1:26" ht="15.75" x14ac:dyDescent="0.5">
      <c r="A25" s="116" t="s">
        <v>52</v>
      </c>
      <c r="B25" s="142">
        <v>40000</v>
      </c>
      <c r="C25" s="116" t="s">
        <v>188</v>
      </c>
      <c r="D25" s="405">
        <f>G5</f>
        <v>6.1200000000000004E-3</v>
      </c>
      <c r="E25" s="402" t="s">
        <v>240</v>
      </c>
      <c r="F25" s="29"/>
      <c r="G25" s="405">
        <f>'Table C'!P24</f>
        <v>7.0200000000000002E-3</v>
      </c>
      <c r="H25" s="402" t="s">
        <v>240</v>
      </c>
      <c r="I25" s="116"/>
      <c r="K25" s="197">
        <v>5000</v>
      </c>
      <c r="L25" s="197">
        <f>K25</f>
        <v>5000</v>
      </c>
      <c r="R25" s="197">
        <v>5000</v>
      </c>
      <c r="S25" s="197">
        <f t="shared" ref="S25:V30" si="17">L25</f>
        <v>5000</v>
      </c>
      <c r="T25" s="197">
        <f t="shared" si="17"/>
        <v>0</v>
      </c>
      <c r="U25" s="197">
        <f t="shared" si="17"/>
        <v>0</v>
      </c>
      <c r="V25" s="197">
        <f t="shared" si="17"/>
        <v>0</v>
      </c>
    </row>
    <row r="26" spans="1:26" ht="15.75" x14ac:dyDescent="0.5">
      <c r="A26" s="116" t="s">
        <v>52</v>
      </c>
      <c r="B26" s="142">
        <v>50000</v>
      </c>
      <c r="C26" s="116" t="s">
        <v>188</v>
      </c>
      <c r="D26" s="405">
        <f t="shared" ref="D26:D27" si="18">G6</f>
        <v>5.2700000000000004E-3</v>
      </c>
      <c r="E26" s="402" t="s">
        <v>240</v>
      </c>
      <c r="F26" s="29"/>
      <c r="G26" s="405">
        <f>'Table C'!P25</f>
        <v>6.0400000000000002E-3</v>
      </c>
      <c r="H26" s="402" t="s">
        <v>240</v>
      </c>
      <c r="I26" s="116"/>
      <c r="K26" s="197">
        <v>10000</v>
      </c>
      <c r="L26" s="197">
        <v>10000</v>
      </c>
      <c r="M26" s="142">
        <f>K26-L26</f>
        <v>0</v>
      </c>
      <c r="P26" s="197">
        <f>SUM(L26:O26)</f>
        <v>10000</v>
      </c>
      <c r="R26" s="197">
        <v>10000</v>
      </c>
      <c r="S26" s="197">
        <f t="shared" si="17"/>
        <v>10000</v>
      </c>
      <c r="T26" s="197">
        <f t="shared" si="17"/>
        <v>0</v>
      </c>
      <c r="U26" s="197">
        <f t="shared" si="17"/>
        <v>0</v>
      </c>
      <c r="V26" s="197">
        <f t="shared" si="17"/>
        <v>0</v>
      </c>
      <c r="W26" s="197">
        <f>SUM(S26:V26)</f>
        <v>10000</v>
      </c>
    </row>
    <row r="27" spans="1:26" ht="15.75" x14ac:dyDescent="0.5">
      <c r="A27" s="116" t="s">
        <v>114</v>
      </c>
      <c r="B27" s="142">
        <f>SUM(B23:B26)</f>
        <v>100000</v>
      </c>
      <c r="C27" s="116" t="s">
        <v>188</v>
      </c>
      <c r="D27" s="405">
        <f t="shared" si="18"/>
        <v>4.3900000000000007E-3</v>
      </c>
      <c r="E27" s="402" t="s">
        <v>240</v>
      </c>
      <c r="F27" s="29"/>
      <c r="G27" s="405">
        <f>'Table C'!P26</f>
        <v>5.0300000000000006E-3</v>
      </c>
      <c r="H27" s="402" t="s">
        <v>240</v>
      </c>
      <c r="I27" s="116"/>
      <c r="K27" s="197">
        <v>15000</v>
      </c>
      <c r="L27" s="197">
        <f t="shared" ref="L27:L30" si="19">L26</f>
        <v>10000</v>
      </c>
      <c r="M27" s="197">
        <f>K27-L27</f>
        <v>5000</v>
      </c>
      <c r="N27" s="197">
        <f>K27-L27-M27</f>
        <v>0</v>
      </c>
      <c r="P27" s="197">
        <f>SUM(L27:O27)</f>
        <v>15000</v>
      </c>
      <c r="R27" s="197">
        <v>15000</v>
      </c>
      <c r="S27" s="197">
        <f t="shared" si="17"/>
        <v>10000</v>
      </c>
      <c r="T27" s="197">
        <f t="shared" si="17"/>
        <v>5000</v>
      </c>
      <c r="U27" s="197">
        <f t="shared" si="17"/>
        <v>0</v>
      </c>
      <c r="V27" s="197">
        <f t="shared" si="17"/>
        <v>0</v>
      </c>
      <c r="W27" s="197">
        <f>SUM(S27:V27)</f>
        <v>15000</v>
      </c>
    </row>
    <row r="28" spans="1:26" x14ac:dyDescent="0.4">
      <c r="K28" s="197">
        <v>20000</v>
      </c>
      <c r="L28" s="197">
        <f t="shared" si="19"/>
        <v>10000</v>
      </c>
      <c r="M28" s="197">
        <f t="shared" ref="M28:M30" si="20">K28-L28</f>
        <v>10000</v>
      </c>
      <c r="N28" s="197">
        <f>K28-L28-M28</f>
        <v>0</v>
      </c>
      <c r="P28" s="197">
        <f>SUM(L28:O28)</f>
        <v>20000</v>
      </c>
      <c r="R28" s="197">
        <v>20000</v>
      </c>
      <c r="S28" s="197">
        <f t="shared" si="17"/>
        <v>10000</v>
      </c>
      <c r="T28" s="197">
        <f t="shared" si="17"/>
        <v>10000</v>
      </c>
      <c r="U28" s="197">
        <f t="shared" si="17"/>
        <v>0</v>
      </c>
      <c r="V28" s="197">
        <f t="shared" si="17"/>
        <v>0</v>
      </c>
      <c r="W28" s="197">
        <f>SUM(S28:V28)</f>
        <v>20000</v>
      </c>
    </row>
    <row r="29" spans="1:26" x14ac:dyDescent="0.4">
      <c r="E29" s="514"/>
      <c r="F29" s="116"/>
      <c r="K29" s="197">
        <v>25000</v>
      </c>
      <c r="L29" s="197">
        <f t="shared" si="19"/>
        <v>10000</v>
      </c>
      <c r="M29" s="197">
        <f t="shared" si="20"/>
        <v>15000</v>
      </c>
      <c r="N29" s="197">
        <f>K29-L29-M29</f>
        <v>0</v>
      </c>
      <c r="P29" s="197">
        <f>SUM(L29:O29)</f>
        <v>25000</v>
      </c>
      <c r="R29" s="197">
        <v>25000</v>
      </c>
      <c r="S29" s="197">
        <f t="shared" si="17"/>
        <v>10000</v>
      </c>
      <c r="T29" s="197">
        <f t="shared" si="17"/>
        <v>15000</v>
      </c>
      <c r="U29" s="197">
        <f t="shared" si="17"/>
        <v>0</v>
      </c>
      <c r="V29" s="197">
        <f t="shared" si="17"/>
        <v>0</v>
      </c>
      <c r="W29" s="197">
        <f>SUM(S29:V29)</f>
        <v>25000</v>
      </c>
    </row>
    <row r="30" spans="1:26" x14ac:dyDescent="0.4">
      <c r="E30" s="514"/>
      <c r="F30" s="116"/>
      <c r="K30" s="197">
        <v>30000</v>
      </c>
      <c r="L30" s="197">
        <f t="shared" si="19"/>
        <v>10000</v>
      </c>
      <c r="M30" s="197">
        <f t="shared" si="20"/>
        <v>20000</v>
      </c>
      <c r="N30" s="197">
        <f>K30-L30-M30</f>
        <v>0</v>
      </c>
      <c r="P30" s="197">
        <f>SUM(L30:O30)</f>
        <v>30000</v>
      </c>
      <c r="R30" s="197">
        <v>30000</v>
      </c>
      <c r="S30" s="197">
        <f t="shared" si="17"/>
        <v>10000</v>
      </c>
      <c r="T30" s="197">
        <f t="shared" si="17"/>
        <v>20000</v>
      </c>
      <c r="U30" s="197">
        <f t="shared" si="17"/>
        <v>0</v>
      </c>
      <c r="V30" s="197">
        <f t="shared" si="17"/>
        <v>0</v>
      </c>
      <c r="W30" s="197">
        <f>SUM(S30:V30)</f>
        <v>30000</v>
      </c>
    </row>
    <row r="31" spans="1:26" x14ac:dyDescent="0.4">
      <c r="E31" s="514"/>
      <c r="F31" s="116"/>
    </row>
    <row r="32" spans="1:26" x14ac:dyDescent="0.4">
      <c r="E32" s="514"/>
      <c r="F32" s="116"/>
      <c r="K32" s="197">
        <v>5000</v>
      </c>
      <c r="L32" s="138">
        <f>L24</f>
        <v>80.849999999999994</v>
      </c>
      <c r="M32" s="138"/>
      <c r="N32" s="138"/>
      <c r="O32" s="138"/>
      <c r="P32" s="138">
        <f t="shared" ref="P32:P37" si="21">SUM(L32:O32)</f>
        <v>80.849999999999994</v>
      </c>
      <c r="R32" s="197">
        <v>5000</v>
      </c>
      <c r="S32" s="138">
        <f>S24</f>
        <v>92.71</v>
      </c>
      <c r="T32" s="138"/>
      <c r="U32" s="138"/>
      <c r="V32" s="138"/>
      <c r="W32" s="138">
        <f t="shared" ref="W32:W37" si="22">SUM(S32:V32)</f>
        <v>92.71</v>
      </c>
    </row>
    <row r="33" spans="5:23" x14ac:dyDescent="0.4">
      <c r="E33" s="514"/>
      <c r="F33" s="116"/>
      <c r="K33" s="197">
        <v>10000</v>
      </c>
      <c r="L33" s="138">
        <f>L32</f>
        <v>80.849999999999994</v>
      </c>
      <c r="M33" s="138">
        <f>M26*M$24</f>
        <v>0</v>
      </c>
      <c r="N33" s="138">
        <f t="shared" ref="N33:O33" si="23">N26*N$24</f>
        <v>0</v>
      </c>
      <c r="O33" s="138">
        <f t="shared" si="23"/>
        <v>0</v>
      </c>
      <c r="P33" s="138">
        <f t="shared" si="21"/>
        <v>80.849999999999994</v>
      </c>
      <c r="R33" s="197">
        <v>10000</v>
      </c>
      <c r="S33" s="138">
        <f>S32</f>
        <v>92.71</v>
      </c>
      <c r="T33" s="138">
        <f>T26*T$24</f>
        <v>0</v>
      </c>
      <c r="U33" s="138">
        <f t="shared" ref="U33:V33" si="24">U26*U$24</f>
        <v>0</v>
      </c>
      <c r="V33" s="138">
        <f t="shared" si="24"/>
        <v>0</v>
      </c>
      <c r="W33" s="138">
        <f t="shared" si="22"/>
        <v>92.71</v>
      </c>
    </row>
    <row r="34" spans="5:23" x14ac:dyDescent="0.4">
      <c r="E34" s="514"/>
      <c r="F34" s="116"/>
      <c r="K34" s="197">
        <v>15000</v>
      </c>
      <c r="L34" s="138">
        <f t="shared" ref="L34:L37" si="25">L33</f>
        <v>80.849999999999994</v>
      </c>
      <c r="M34" s="138">
        <f>M27*M$24</f>
        <v>30.6</v>
      </c>
      <c r="N34" s="138">
        <f t="shared" ref="N34:O34" si="26">N27*N$24</f>
        <v>0</v>
      </c>
      <c r="O34" s="138">
        <f t="shared" si="26"/>
        <v>0</v>
      </c>
      <c r="P34" s="138">
        <f t="shared" si="21"/>
        <v>111.44999999999999</v>
      </c>
      <c r="R34" s="197">
        <v>15000</v>
      </c>
      <c r="S34" s="138">
        <f t="shared" ref="S34:S37" si="27">S33</f>
        <v>92.71</v>
      </c>
      <c r="T34" s="138">
        <f>T27*T$24</f>
        <v>35.1</v>
      </c>
      <c r="U34" s="138">
        <f t="shared" ref="U34:V34" si="28">U27*U$24</f>
        <v>0</v>
      </c>
      <c r="V34" s="138">
        <f t="shared" si="28"/>
        <v>0</v>
      </c>
      <c r="W34" s="138">
        <f t="shared" si="22"/>
        <v>127.81</v>
      </c>
    </row>
    <row r="35" spans="5:23" x14ac:dyDescent="0.4">
      <c r="E35" s="514"/>
      <c r="F35" s="116"/>
      <c r="K35" s="197">
        <v>20000</v>
      </c>
      <c r="L35" s="138">
        <f t="shared" si="25"/>
        <v>80.849999999999994</v>
      </c>
      <c r="M35" s="138">
        <f>M28*M$24</f>
        <v>61.2</v>
      </c>
      <c r="N35" s="138">
        <f t="shared" ref="N35:O35" si="29">N28*N$24</f>
        <v>0</v>
      </c>
      <c r="O35" s="138">
        <f t="shared" si="29"/>
        <v>0</v>
      </c>
      <c r="P35" s="138">
        <f t="shared" si="21"/>
        <v>142.05000000000001</v>
      </c>
      <c r="R35" s="197">
        <v>20000</v>
      </c>
      <c r="S35" s="138">
        <f t="shared" si="27"/>
        <v>92.71</v>
      </c>
      <c r="T35" s="138">
        <f>T28*T$24</f>
        <v>70.2</v>
      </c>
      <c r="U35" s="138">
        <f t="shared" ref="U35:V35" si="30">U28*U$24</f>
        <v>0</v>
      </c>
      <c r="V35" s="138">
        <f t="shared" si="30"/>
        <v>0</v>
      </c>
      <c r="W35" s="138">
        <f t="shared" si="22"/>
        <v>162.91</v>
      </c>
    </row>
    <row r="36" spans="5:23" x14ac:dyDescent="0.4">
      <c r="E36" s="514"/>
      <c r="F36" s="116"/>
      <c r="K36" s="197">
        <v>25000</v>
      </c>
      <c r="L36" s="138">
        <f t="shared" si="25"/>
        <v>80.849999999999994</v>
      </c>
      <c r="M36" s="138">
        <f>M29*M$24</f>
        <v>91.800000000000011</v>
      </c>
      <c r="N36" s="138">
        <f t="shared" ref="N36:O36" si="31">N29*N$24</f>
        <v>0</v>
      </c>
      <c r="O36" s="138">
        <f t="shared" si="31"/>
        <v>0</v>
      </c>
      <c r="P36" s="138">
        <f t="shared" si="21"/>
        <v>172.65</v>
      </c>
      <c r="R36" s="197">
        <v>25000</v>
      </c>
      <c r="S36" s="138">
        <f t="shared" si="27"/>
        <v>92.71</v>
      </c>
      <c r="T36" s="138">
        <f>T29*T$24</f>
        <v>105.3</v>
      </c>
      <c r="U36" s="138">
        <f t="shared" ref="U36:V36" si="32">U29*U$24</f>
        <v>0</v>
      </c>
      <c r="V36" s="138">
        <f t="shared" si="32"/>
        <v>0</v>
      </c>
      <c r="W36" s="138">
        <f t="shared" si="22"/>
        <v>198.01</v>
      </c>
    </row>
    <row r="37" spans="5:23" x14ac:dyDescent="0.4">
      <c r="E37" s="514"/>
      <c r="F37" s="116"/>
      <c r="K37" s="197">
        <v>30000</v>
      </c>
      <c r="L37" s="138">
        <f t="shared" si="25"/>
        <v>80.849999999999994</v>
      </c>
      <c r="M37" s="138">
        <f>M30*M$24</f>
        <v>122.4</v>
      </c>
      <c r="N37" s="138">
        <f t="shared" ref="N37:O37" si="33">N30*N$24</f>
        <v>0</v>
      </c>
      <c r="O37" s="138">
        <f t="shared" si="33"/>
        <v>0</v>
      </c>
      <c r="P37" s="138">
        <f t="shared" si="21"/>
        <v>203.25</v>
      </c>
      <c r="R37" s="197">
        <v>30000</v>
      </c>
      <c r="S37" s="138">
        <f t="shared" si="27"/>
        <v>92.71</v>
      </c>
      <c r="T37" s="138">
        <f>T30*T$24</f>
        <v>140.4</v>
      </c>
      <c r="U37" s="138">
        <f t="shared" ref="U37:V37" si="34">U30*U$24</f>
        <v>0</v>
      </c>
      <c r="V37" s="138">
        <f t="shared" si="34"/>
        <v>0</v>
      </c>
      <c r="W37" s="138">
        <f t="shared" si="22"/>
        <v>233.11</v>
      </c>
    </row>
    <row r="38" spans="5:23" x14ac:dyDescent="0.4">
      <c r="E38" s="514"/>
      <c r="F38" s="116"/>
    </row>
    <row r="39" spans="5:23" x14ac:dyDescent="0.4">
      <c r="E39" s="514"/>
      <c r="F39" s="116"/>
    </row>
  </sheetData>
  <mergeCells count="10">
    <mergeCell ref="A1:Z1"/>
    <mergeCell ref="K2:P2"/>
    <mergeCell ref="R2:W2"/>
    <mergeCell ref="D3:E3"/>
    <mergeCell ref="G3:I3"/>
    <mergeCell ref="D23:E23"/>
    <mergeCell ref="G23:I23"/>
    <mergeCell ref="A21:Z21"/>
    <mergeCell ref="K22:Q22"/>
    <mergeCell ref="S22:Y2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A3E0-10E3-4C4C-98E8-532AF5A7F50E}">
  <dimension ref="A1:Z67"/>
  <sheetViews>
    <sheetView workbookViewId="0">
      <selection activeCell="K23" sqref="K23:W23"/>
    </sheetView>
  </sheetViews>
  <sheetFormatPr defaultRowHeight="15" x14ac:dyDescent="0.4"/>
  <cols>
    <col min="3" max="3" width="6.664062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11.44140625" style="197" bestFit="1" customWidth="1"/>
    <col min="12" max="14" width="10.44140625" style="197" bestFit="1" customWidth="1"/>
    <col min="15" max="15" width="11.44140625" style="197" bestFit="1" customWidth="1"/>
    <col min="18" max="18" width="11.44140625" style="197" bestFit="1" customWidth="1"/>
    <col min="19" max="21" width="10.44140625" style="197" bestFit="1" customWidth="1"/>
    <col min="22" max="22" width="11.44140625" style="197" bestFit="1" customWidth="1"/>
  </cols>
  <sheetData>
    <row r="1" spans="1:26" ht="20.65" x14ac:dyDescent="0.6">
      <c r="A1" s="685" t="s">
        <v>689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</row>
    <row r="3" spans="1:26" x14ac:dyDescent="0.4">
      <c r="C3" s="512"/>
      <c r="I3" s="513"/>
      <c r="K3" s="686" t="s">
        <v>660</v>
      </c>
      <c r="L3" s="686"/>
      <c r="M3" s="686"/>
      <c r="N3" s="686"/>
      <c r="O3" s="686"/>
      <c r="P3" s="686"/>
      <c r="R3" s="686" t="s">
        <v>700</v>
      </c>
      <c r="S3" s="686"/>
      <c r="T3" s="686"/>
      <c r="U3" s="686"/>
      <c r="V3" s="686"/>
      <c r="W3" s="686"/>
    </row>
    <row r="4" spans="1:26" ht="15.75" x14ac:dyDescent="0.5">
      <c r="A4" s="116" t="s">
        <v>336</v>
      </c>
      <c r="B4" s="142"/>
      <c r="D4" s="684" t="s">
        <v>660</v>
      </c>
      <c r="E4" s="684"/>
      <c r="F4" s="14"/>
      <c r="G4" s="657" t="s">
        <v>696</v>
      </c>
      <c r="H4" s="657"/>
      <c r="I4" s="657"/>
      <c r="J4" s="403"/>
      <c r="L4" s="142">
        <v>16000</v>
      </c>
      <c r="M4" s="142">
        <v>34000</v>
      </c>
      <c r="N4" s="142">
        <v>50000</v>
      </c>
      <c r="O4" s="142">
        <f>SUM(K4:N4)</f>
        <v>100000</v>
      </c>
      <c r="S4" s="142">
        <v>16000</v>
      </c>
      <c r="T4" s="142">
        <v>34000</v>
      </c>
      <c r="U4" s="142">
        <v>50000</v>
      </c>
      <c r="V4" s="142">
        <f>SUM(R4:U4)</f>
        <v>100000</v>
      </c>
    </row>
    <row r="5" spans="1:26" ht="15.75" x14ac:dyDescent="0.5">
      <c r="A5" s="116" t="s">
        <v>51</v>
      </c>
      <c r="B5" s="142">
        <v>16000</v>
      </c>
      <c r="C5" s="116" t="s">
        <v>188</v>
      </c>
      <c r="D5" s="404">
        <f>'Table C'!F29</f>
        <v>101.44</v>
      </c>
      <c r="E5" s="402" t="s">
        <v>241</v>
      </c>
      <c r="F5" s="29"/>
      <c r="G5" s="404">
        <f>'Table C'!I29</f>
        <v>118.66999999999999</v>
      </c>
      <c r="H5" s="402" t="s">
        <v>241</v>
      </c>
      <c r="I5" s="116"/>
      <c r="L5" s="404">
        <f>D5</f>
        <v>101.44</v>
      </c>
      <c r="M5" s="405">
        <f>D6</f>
        <v>5.2399999999999999E-3</v>
      </c>
      <c r="N5" s="405">
        <f>D7</f>
        <v>4.5100000000000001E-3</v>
      </c>
      <c r="O5" s="405">
        <f>D8</f>
        <v>3.7599999999999999E-3</v>
      </c>
      <c r="S5" s="404">
        <f>G5</f>
        <v>118.66999999999999</v>
      </c>
      <c r="T5" s="405">
        <f>G6</f>
        <v>6.1200000000000004E-3</v>
      </c>
      <c r="U5" s="405">
        <f>G7</f>
        <v>5.2700000000000004E-3</v>
      </c>
      <c r="V5" s="405">
        <f>G8</f>
        <v>4.3900000000000007E-3</v>
      </c>
    </row>
    <row r="6" spans="1:26" ht="15.75" x14ac:dyDescent="0.5">
      <c r="A6" s="116" t="s">
        <v>52</v>
      </c>
      <c r="B6" s="142">
        <v>34000</v>
      </c>
      <c r="C6" s="116" t="s">
        <v>188</v>
      </c>
      <c r="D6" s="405">
        <f>'Table C'!F30</f>
        <v>5.2399999999999999E-3</v>
      </c>
      <c r="E6" s="402" t="s">
        <v>240</v>
      </c>
      <c r="F6" s="29"/>
      <c r="G6" s="405">
        <f>'Table C'!I30</f>
        <v>6.1200000000000004E-3</v>
      </c>
      <c r="H6" s="402" t="s">
        <v>240</v>
      </c>
      <c r="I6" s="116"/>
      <c r="K6" s="197">
        <v>30000</v>
      </c>
      <c r="L6" s="197">
        <v>16000</v>
      </c>
      <c r="M6" s="197">
        <f>K6-L6</f>
        <v>14000</v>
      </c>
      <c r="N6" s="197">
        <f>K6-L6-M6</f>
        <v>0</v>
      </c>
      <c r="P6" s="197">
        <f t="shared" ref="P6:P11" si="0">SUM(L6:O6)</f>
        <v>30000</v>
      </c>
      <c r="R6" s="197">
        <v>30000</v>
      </c>
      <c r="S6" s="197">
        <f t="shared" ref="S6:S11" si="1">L6</f>
        <v>16000</v>
      </c>
      <c r="T6" s="197">
        <f t="shared" ref="T6:T11" si="2">M6</f>
        <v>14000</v>
      </c>
      <c r="U6" s="197">
        <f t="shared" ref="U6:U11" si="3">N6</f>
        <v>0</v>
      </c>
      <c r="V6" s="197">
        <f t="shared" ref="V6:V11" si="4">O6</f>
        <v>0</v>
      </c>
      <c r="W6" s="197">
        <f t="shared" ref="W6:W11" si="5">SUM(S6:V6)</f>
        <v>30000</v>
      </c>
    </row>
    <row r="7" spans="1:26" ht="15.75" x14ac:dyDescent="0.5">
      <c r="A7" s="116" t="s">
        <v>52</v>
      </c>
      <c r="B7" s="142">
        <v>50000</v>
      </c>
      <c r="C7" s="116" t="s">
        <v>188</v>
      </c>
      <c r="D7" s="405">
        <f>'Table C'!F31</f>
        <v>4.5100000000000001E-3</v>
      </c>
      <c r="E7" s="402" t="s">
        <v>240</v>
      </c>
      <c r="F7" s="29"/>
      <c r="G7" s="405">
        <f>'Table C'!I31</f>
        <v>5.2700000000000004E-3</v>
      </c>
      <c r="H7" s="402" t="s">
        <v>240</v>
      </c>
      <c r="I7" s="116"/>
      <c r="K7" s="197">
        <v>60000</v>
      </c>
      <c r="L7" s="197">
        <v>16000</v>
      </c>
      <c r="M7" s="142">
        <v>34000</v>
      </c>
      <c r="N7" s="197">
        <f>K7-L7-M7</f>
        <v>10000</v>
      </c>
      <c r="P7" s="197">
        <f t="shared" si="0"/>
        <v>60000</v>
      </c>
      <c r="R7" s="197">
        <v>60000</v>
      </c>
      <c r="S7" s="197">
        <f t="shared" si="1"/>
        <v>16000</v>
      </c>
      <c r="T7" s="197">
        <f t="shared" si="2"/>
        <v>34000</v>
      </c>
      <c r="U7" s="197">
        <f t="shared" si="3"/>
        <v>10000</v>
      </c>
      <c r="V7" s="197">
        <f t="shared" si="4"/>
        <v>0</v>
      </c>
      <c r="W7" s="197">
        <f t="shared" si="5"/>
        <v>60000</v>
      </c>
    </row>
    <row r="8" spans="1:26" ht="15.75" x14ac:dyDescent="0.5">
      <c r="A8" s="116" t="s">
        <v>114</v>
      </c>
      <c r="B8" s="142">
        <f>SUM(B4:B7)</f>
        <v>100000</v>
      </c>
      <c r="C8" s="116" t="s">
        <v>188</v>
      </c>
      <c r="D8" s="405">
        <f>'Table C'!F32</f>
        <v>3.7599999999999999E-3</v>
      </c>
      <c r="E8" s="402" t="s">
        <v>240</v>
      </c>
      <c r="F8" s="29"/>
      <c r="G8" s="405">
        <f>'Table C'!I32</f>
        <v>4.3900000000000007E-3</v>
      </c>
      <c r="H8" s="402" t="s">
        <v>240</v>
      </c>
      <c r="I8" s="116"/>
      <c r="K8" s="197">
        <v>80000</v>
      </c>
      <c r="L8" s="197">
        <v>16000</v>
      </c>
      <c r="M8" s="142">
        <v>34000</v>
      </c>
      <c r="N8" s="197">
        <f>K8-L8-M8</f>
        <v>30000</v>
      </c>
      <c r="P8" s="197">
        <f t="shared" si="0"/>
        <v>80000</v>
      </c>
      <c r="R8" s="197">
        <v>80000</v>
      </c>
      <c r="S8" s="197">
        <f t="shared" si="1"/>
        <v>16000</v>
      </c>
      <c r="T8" s="197">
        <f t="shared" si="2"/>
        <v>34000</v>
      </c>
      <c r="U8" s="197">
        <f t="shared" si="3"/>
        <v>30000</v>
      </c>
      <c r="V8" s="197">
        <f t="shared" si="4"/>
        <v>0</v>
      </c>
      <c r="W8" s="197">
        <f t="shared" si="5"/>
        <v>80000</v>
      </c>
    </row>
    <row r="9" spans="1:26" x14ac:dyDescent="0.4">
      <c r="G9" s="405"/>
      <c r="K9" s="197">
        <v>100000</v>
      </c>
      <c r="L9" s="197">
        <v>16000</v>
      </c>
      <c r="M9" s="142">
        <v>34000</v>
      </c>
      <c r="N9" s="197">
        <f>K9-L9-M9</f>
        <v>50000</v>
      </c>
      <c r="P9" s="197">
        <f t="shared" si="0"/>
        <v>100000</v>
      </c>
      <c r="R9" s="197">
        <v>100000</v>
      </c>
      <c r="S9" s="197">
        <f t="shared" si="1"/>
        <v>16000</v>
      </c>
      <c r="T9" s="197">
        <f t="shared" si="2"/>
        <v>34000</v>
      </c>
      <c r="U9" s="197">
        <f t="shared" si="3"/>
        <v>50000</v>
      </c>
      <c r="V9" s="197">
        <f t="shared" si="4"/>
        <v>0</v>
      </c>
      <c r="W9" s="197">
        <f t="shared" si="5"/>
        <v>100000</v>
      </c>
    </row>
    <row r="10" spans="1:26" x14ac:dyDescent="0.4">
      <c r="E10" s="514"/>
      <c r="F10" s="116"/>
      <c r="K10" s="197">
        <v>120000</v>
      </c>
      <c r="L10" s="197">
        <v>16000</v>
      </c>
      <c r="M10" s="142">
        <v>34000</v>
      </c>
      <c r="N10" s="197">
        <v>50000</v>
      </c>
      <c r="O10" s="197">
        <f>K10-L10-M10-N10</f>
        <v>20000</v>
      </c>
      <c r="P10" s="197">
        <f t="shared" si="0"/>
        <v>120000</v>
      </c>
      <c r="R10" s="197">
        <v>120000</v>
      </c>
      <c r="S10" s="197">
        <f t="shared" si="1"/>
        <v>16000</v>
      </c>
      <c r="T10" s="197">
        <f t="shared" si="2"/>
        <v>34000</v>
      </c>
      <c r="U10" s="197">
        <f t="shared" si="3"/>
        <v>50000</v>
      </c>
      <c r="V10" s="197">
        <f t="shared" si="4"/>
        <v>20000</v>
      </c>
      <c r="W10" s="197">
        <f t="shared" si="5"/>
        <v>120000</v>
      </c>
    </row>
    <row r="11" spans="1:26" x14ac:dyDescent="0.4">
      <c r="E11" s="514"/>
      <c r="F11" s="116"/>
      <c r="K11" s="197">
        <v>140000</v>
      </c>
      <c r="L11" s="197">
        <v>16000</v>
      </c>
      <c r="M11" s="142">
        <v>34000</v>
      </c>
      <c r="N11" s="197">
        <v>50000</v>
      </c>
      <c r="O11" s="197">
        <f>K11-L11-M11-N11</f>
        <v>40000</v>
      </c>
      <c r="P11" s="197">
        <f t="shared" si="0"/>
        <v>140000</v>
      </c>
      <c r="R11" s="197">
        <v>140000</v>
      </c>
      <c r="S11" s="197">
        <f t="shared" si="1"/>
        <v>16000</v>
      </c>
      <c r="T11" s="197">
        <f t="shared" si="2"/>
        <v>34000</v>
      </c>
      <c r="U11" s="197">
        <f t="shared" si="3"/>
        <v>50000</v>
      </c>
      <c r="V11" s="197">
        <f t="shared" si="4"/>
        <v>40000</v>
      </c>
      <c r="W11" s="197">
        <f t="shared" si="5"/>
        <v>140000</v>
      </c>
    </row>
    <row r="12" spans="1:26" x14ac:dyDescent="0.4">
      <c r="E12" s="514"/>
      <c r="F12" s="116"/>
    </row>
    <row r="13" spans="1:26" x14ac:dyDescent="0.4">
      <c r="E13" s="514"/>
      <c r="F13" s="116"/>
      <c r="K13" s="197">
        <v>30000</v>
      </c>
      <c r="L13" s="138">
        <f>L5</f>
        <v>101.44</v>
      </c>
      <c r="M13" s="138">
        <f>M6*M$5</f>
        <v>73.36</v>
      </c>
      <c r="N13" s="138">
        <f t="shared" ref="N13:O13" si="6">N6*N$5</f>
        <v>0</v>
      </c>
      <c r="O13" s="138">
        <f t="shared" si="6"/>
        <v>0</v>
      </c>
      <c r="P13" s="138">
        <f t="shared" ref="P13:P18" si="7">SUM(L13:O13)</f>
        <v>174.8</v>
      </c>
      <c r="R13" s="197">
        <v>30000</v>
      </c>
      <c r="S13" s="138">
        <f>S5</f>
        <v>118.66999999999999</v>
      </c>
      <c r="T13" s="138">
        <f>T6*T$5</f>
        <v>85.68</v>
      </c>
      <c r="U13" s="138">
        <f t="shared" ref="U13:V13" si="8">U6*U$5</f>
        <v>0</v>
      </c>
      <c r="V13" s="138">
        <f t="shared" si="8"/>
        <v>0</v>
      </c>
      <c r="W13" s="138">
        <f t="shared" ref="W13:W18" si="9">SUM(S13:V13)</f>
        <v>204.35</v>
      </c>
    </row>
    <row r="14" spans="1:26" x14ac:dyDescent="0.4">
      <c r="E14" s="514"/>
      <c r="F14" s="116"/>
      <c r="K14" s="197">
        <v>60000</v>
      </c>
      <c r="L14" s="138">
        <f>L13</f>
        <v>101.44</v>
      </c>
      <c r="M14" s="138">
        <f t="shared" ref="M14:O18" si="10">M7*M$5</f>
        <v>178.16</v>
      </c>
      <c r="N14" s="138">
        <f t="shared" si="10"/>
        <v>45.1</v>
      </c>
      <c r="O14" s="138">
        <f t="shared" si="10"/>
        <v>0</v>
      </c>
      <c r="P14" s="138">
        <f t="shared" si="7"/>
        <v>324.70000000000005</v>
      </c>
      <c r="R14" s="197">
        <v>60000</v>
      </c>
      <c r="S14" s="138">
        <f>S13</f>
        <v>118.66999999999999</v>
      </c>
      <c r="T14" s="138">
        <f t="shared" ref="T14:V14" si="11">T7*T$5</f>
        <v>208.08</v>
      </c>
      <c r="U14" s="138">
        <f t="shared" si="11"/>
        <v>52.7</v>
      </c>
      <c r="V14" s="138">
        <f t="shared" si="11"/>
        <v>0</v>
      </c>
      <c r="W14" s="138">
        <f t="shared" si="9"/>
        <v>379.45</v>
      </c>
    </row>
    <row r="15" spans="1:26" x14ac:dyDescent="0.4">
      <c r="E15" s="514"/>
      <c r="F15" s="116"/>
      <c r="K15" s="197">
        <v>80000</v>
      </c>
      <c r="L15" s="138">
        <f t="shared" ref="L15:L18" si="12">L14</f>
        <v>101.44</v>
      </c>
      <c r="M15" s="138">
        <f t="shared" si="10"/>
        <v>178.16</v>
      </c>
      <c r="N15" s="138">
        <f t="shared" si="10"/>
        <v>135.30000000000001</v>
      </c>
      <c r="O15" s="138">
        <f t="shared" si="10"/>
        <v>0</v>
      </c>
      <c r="P15" s="138">
        <f t="shared" si="7"/>
        <v>414.90000000000003</v>
      </c>
      <c r="R15" s="197">
        <v>80000</v>
      </c>
      <c r="S15" s="138">
        <f t="shared" ref="S15:S18" si="13">S14</f>
        <v>118.66999999999999</v>
      </c>
      <c r="T15" s="138">
        <f t="shared" ref="T15:V15" si="14">T8*T$5</f>
        <v>208.08</v>
      </c>
      <c r="U15" s="138">
        <f t="shared" si="14"/>
        <v>158.10000000000002</v>
      </c>
      <c r="V15" s="138">
        <f t="shared" si="14"/>
        <v>0</v>
      </c>
      <c r="W15" s="138">
        <f t="shared" si="9"/>
        <v>484.85</v>
      </c>
    </row>
    <row r="16" spans="1:26" x14ac:dyDescent="0.4">
      <c r="E16" s="514"/>
      <c r="F16" s="116"/>
      <c r="K16" s="197">
        <v>100000</v>
      </c>
      <c r="L16" s="138">
        <f t="shared" si="12"/>
        <v>101.44</v>
      </c>
      <c r="M16" s="138">
        <f t="shared" si="10"/>
        <v>178.16</v>
      </c>
      <c r="N16" s="138">
        <f t="shared" si="10"/>
        <v>225.5</v>
      </c>
      <c r="O16" s="138">
        <f t="shared" si="10"/>
        <v>0</v>
      </c>
      <c r="P16" s="138">
        <f t="shared" si="7"/>
        <v>505.1</v>
      </c>
      <c r="R16" s="197">
        <v>100000</v>
      </c>
      <c r="S16" s="138">
        <f t="shared" si="13"/>
        <v>118.66999999999999</v>
      </c>
      <c r="T16" s="138">
        <f t="shared" ref="T16:V16" si="15">T9*T$5</f>
        <v>208.08</v>
      </c>
      <c r="U16" s="138">
        <f t="shared" si="15"/>
        <v>263.5</v>
      </c>
      <c r="V16" s="138">
        <f t="shared" si="15"/>
        <v>0</v>
      </c>
      <c r="W16" s="138">
        <f t="shared" si="9"/>
        <v>590.25</v>
      </c>
    </row>
    <row r="17" spans="1:26" x14ac:dyDescent="0.4">
      <c r="E17" s="514"/>
      <c r="F17" s="116"/>
      <c r="K17" s="197">
        <v>120000</v>
      </c>
      <c r="L17" s="138">
        <f t="shared" si="12"/>
        <v>101.44</v>
      </c>
      <c r="M17" s="138">
        <f t="shared" si="10"/>
        <v>178.16</v>
      </c>
      <c r="N17" s="138">
        <f t="shared" si="10"/>
        <v>225.5</v>
      </c>
      <c r="O17" s="138">
        <f t="shared" si="10"/>
        <v>75.2</v>
      </c>
      <c r="P17" s="138">
        <f t="shared" si="7"/>
        <v>580.30000000000007</v>
      </c>
      <c r="R17" s="197">
        <v>120000</v>
      </c>
      <c r="S17" s="138">
        <f t="shared" si="13"/>
        <v>118.66999999999999</v>
      </c>
      <c r="T17" s="138">
        <f t="shared" ref="T17:V17" si="16">T10*T$5</f>
        <v>208.08</v>
      </c>
      <c r="U17" s="138">
        <f t="shared" si="16"/>
        <v>263.5</v>
      </c>
      <c r="V17" s="138">
        <f t="shared" si="16"/>
        <v>87.800000000000011</v>
      </c>
      <c r="W17" s="138">
        <f t="shared" si="9"/>
        <v>678.05</v>
      </c>
    </row>
    <row r="18" spans="1:26" x14ac:dyDescent="0.4">
      <c r="E18" s="514"/>
      <c r="F18" s="116"/>
      <c r="K18" s="197">
        <v>140000</v>
      </c>
      <c r="L18" s="138">
        <f t="shared" si="12"/>
        <v>101.44</v>
      </c>
      <c r="M18" s="138">
        <f t="shared" si="10"/>
        <v>178.16</v>
      </c>
      <c r="N18" s="138">
        <f t="shared" si="10"/>
        <v>225.5</v>
      </c>
      <c r="O18" s="138">
        <f t="shared" si="10"/>
        <v>150.4</v>
      </c>
      <c r="P18" s="138">
        <f t="shared" si="7"/>
        <v>655.5</v>
      </c>
      <c r="R18" s="197">
        <v>140000</v>
      </c>
      <c r="S18" s="138">
        <f t="shared" si="13"/>
        <v>118.66999999999999</v>
      </c>
      <c r="T18" s="138">
        <f t="shared" ref="T18:V18" si="17">T11*T$5</f>
        <v>208.08</v>
      </c>
      <c r="U18" s="138">
        <f t="shared" si="17"/>
        <v>263.5</v>
      </c>
      <c r="V18" s="138">
        <f t="shared" si="17"/>
        <v>175.60000000000002</v>
      </c>
      <c r="W18" s="138">
        <f t="shared" si="9"/>
        <v>765.85</v>
      </c>
    </row>
    <row r="19" spans="1:26" x14ac:dyDescent="0.4">
      <c r="C19"/>
      <c r="D19"/>
      <c r="E19"/>
      <c r="F19"/>
      <c r="G19"/>
      <c r="H19"/>
      <c r="I19"/>
      <c r="J19"/>
    </row>
    <row r="20" spans="1:26" x14ac:dyDescent="0.4">
      <c r="C20"/>
      <c r="D20"/>
      <c r="E20"/>
      <c r="F20"/>
      <c r="G20"/>
      <c r="H20"/>
      <c r="I20"/>
      <c r="J20"/>
    </row>
    <row r="21" spans="1:26" ht="20.65" x14ac:dyDescent="0.6">
      <c r="A21" s="685" t="s">
        <v>697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</row>
    <row r="23" spans="1:26" x14ac:dyDescent="0.4">
      <c r="C23" s="512"/>
      <c r="I23" s="513"/>
      <c r="K23" s="686" t="s">
        <v>700</v>
      </c>
      <c r="L23" s="686"/>
      <c r="M23" s="686"/>
      <c r="N23" s="686"/>
      <c r="O23" s="686"/>
      <c r="P23" s="686"/>
      <c r="R23" s="686" t="s">
        <v>701</v>
      </c>
      <c r="S23" s="686"/>
      <c r="T23" s="686"/>
      <c r="U23" s="686"/>
      <c r="V23" s="686"/>
      <c r="W23" s="686"/>
    </row>
    <row r="24" spans="1:26" ht="15.75" x14ac:dyDescent="0.5">
      <c r="A24" s="116" t="s">
        <v>336</v>
      </c>
      <c r="B24" s="142"/>
      <c r="D24" s="684" t="s">
        <v>696</v>
      </c>
      <c r="E24" s="684"/>
      <c r="F24" s="14"/>
      <c r="G24" s="657" t="s">
        <v>702</v>
      </c>
      <c r="H24" s="657"/>
      <c r="I24" s="657"/>
      <c r="J24" s="403"/>
      <c r="L24" s="142">
        <v>16000</v>
      </c>
      <c r="M24" s="142">
        <v>34000</v>
      </c>
      <c r="N24" s="142">
        <v>50000</v>
      </c>
      <c r="O24" s="142">
        <f>SUM(K24:N24)</f>
        <v>100000</v>
      </c>
      <c r="S24" s="142">
        <v>16000</v>
      </c>
      <c r="T24" s="142">
        <v>34000</v>
      </c>
      <c r="U24" s="142">
        <v>50000</v>
      </c>
      <c r="V24" s="142">
        <f>SUM(R24:U24)</f>
        <v>100000</v>
      </c>
    </row>
    <row r="25" spans="1:26" ht="15.75" x14ac:dyDescent="0.5">
      <c r="A25" s="116" t="s">
        <v>51</v>
      </c>
      <c r="B25" s="142">
        <v>16000</v>
      </c>
      <c r="C25" s="116" t="s">
        <v>188</v>
      </c>
      <c r="D25" s="404">
        <f>G5</f>
        <v>118.66999999999999</v>
      </c>
      <c r="E25" s="402" t="s">
        <v>241</v>
      </c>
      <c r="F25" s="29"/>
      <c r="G25" s="404">
        <f>'Table C'!P29</f>
        <v>136.09</v>
      </c>
      <c r="H25" s="402" t="s">
        <v>241</v>
      </c>
      <c r="I25" s="116"/>
      <c r="L25" s="404">
        <f>D25</f>
        <v>118.66999999999999</v>
      </c>
      <c r="M25" s="405">
        <f>D26</f>
        <v>6.1200000000000004E-3</v>
      </c>
      <c r="N25" s="405">
        <f>D27</f>
        <v>5.2700000000000004E-3</v>
      </c>
      <c r="O25" s="405">
        <f>D28</f>
        <v>4.3900000000000007E-3</v>
      </c>
      <c r="S25" s="404">
        <f>G25</f>
        <v>136.09</v>
      </c>
      <c r="T25" s="405">
        <f>G26</f>
        <v>7.0200000000000002E-3</v>
      </c>
      <c r="U25" s="405">
        <f>G27</f>
        <v>6.0400000000000002E-3</v>
      </c>
      <c r="V25" s="405">
        <f>G28</f>
        <v>5.0300000000000006E-3</v>
      </c>
    </row>
    <row r="26" spans="1:26" ht="15.75" x14ac:dyDescent="0.5">
      <c r="A26" s="116" t="s">
        <v>52</v>
      </c>
      <c r="B26" s="142">
        <v>34000</v>
      </c>
      <c r="C26" s="116" t="s">
        <v>188</v>
      </c>
      <c r="D26" s="405">
        <f>G6</f>
        <v>6.1200000000000004E-3</v>
      </c>
      <c r="E26" s="402" t="s">
        <v>240</v>
      </c>
      <c r="F26" s="29"/>
      <c r="G26" s="405">
        <f>'Table C'!P30</f>
        <v>7.0200000000000002E-3</v>
      </c>
      <c r="H26" s="402" t="s">
        <v>240</v>
      </c>
      <c r="I26" s="116"/>
      <c r="K26" s="197">
        <v>30000</v>
      </c>
      <c r="L26" s="197">
        <v>16000</v>
      </c>
      <c r="M26" s="197">
        <f>K26-L26</f>
        <v>14000</v>
      </c>
      <c r="N26" s="197">
        <f>K26-L26-M26</f>
        <v>0</v>
      </c>
      <c r="P26" s="197">
        <f t="shared" ref="P26:P31" si="18">SUM(L26:O26)</f>
        <v>30000</v>
      </c>
      <c r="R26" s="197">
        <v>30000</v>
      </c>
      <c r="S26" s="197">
        <f t="shared" ref="S26:S31" si="19">L26</f>
        <v>16000</v>
      </c>
      <c r="T26" s="197">
        <f t="shared" ref="T26:T31" si="20">M26</f>
        <v>14000</v>
      </c>
      <c r="U26" s="197">
        <f t="shared" ref="U26:U31" si="21">N26</f>
        <v>0</v>
      </c>
      <c r="V26" s="197">
        <f t="shared" ref="V26:V31" si="22">O26</f>
        <v>0</v>
      </c>
      <c r="W26" s="197">
        <f t="shared" ref="W26:W31" si="23">SUM(S26:V26)</f>
        <v>30000</v>
      </c>
    </row>
    <row r="27" spans="1:26" ht="15.75" x14ac:dyDescent="0.5">
      <c r="A27" s="116" t="s">
        <v>52</v>
      </c>
      <c r="B27" s="142">
        <v>50000</v>
      </c>
      <c r="C27" s="116" t="s">
        <v>188</v>
      </c>
      <c r="D27" s="405">
        <f t="shared" ref="D27:D28" si="24">G7</f>
        <v>5.2700000000000004E-3</v>
      </c>
      <c r="E27" s="402" t="s">
        <v>240</v>
      </c>
      <c r="F27" s="29"/>
      <c r="G27" s="405">
        <f>'Table C'!P31</f>
        <v>6.0400000000000002E-3</v>
      </c>
      <c r="H27" s="402" t="s">
        <v>240</v>
      </c>
      <c r="I27" s="116"/>
      <c r="K27" s="197">
        <v>60000</v>
      </c>
      <c r="L27" s="197">
        <v>16000</v>
      </c>
      <c r="M27" s="142">
        <v>34000</v>
      </c>
      <c r="N27" s="197">
        <f>K27-L27-M27</f>
        <v>10000</v>
      </c>
      <c r="P27" s="197">
        <f t="shared" si="18"/>
        <v>60000</v>
      </c>
      <c r="R27" s="197">
        <v>60000</v>
      </c>
      <c r="S27" s="197">
        <f t="shared" si="19"/>
        <v>16000</v>
      </c>
      <c r="T27" s="197">
        <f t="shared" si="20"/>
        <v>34000</v>
      </c>
      <c r="U27" s="197">
        <f t="shared" si="21"/>
        <v>10000</v>
      </c>
      <c r="V27" s="197">
        <f t="shared" si="22"/>
        <v>0</v>
      </c>
      <c r="W27" s="197">
        <f t="shared" si="23"/>
        <v>60000</v>
      </c>
    </row>
    <row r="28" spans="1:26" ht="15.75" x14ac:dyDescent="0.5">
      <c r="A28" s="116" t="s">
        <v>114</v>
      </c>
      <c r="B28" s="142">
        <f>SUM(B24:B27)</f>
        <v>100000</v>
      </c>
      <c r="C28" s="116" t="s">
        <v>188</v>
      </c>
      <c r="D28" s="405">
        <f t="shared" si="24"/>
        <v>4.3900000000000007E-3</v>
      </c>
      <c r="E28" s="402" t="s">
        <v>240</v>
      </c>
      <c r="F28" s="29"/>
      <c r="G28" s="405">
        <f>'Table C'!P32</f>
        <v>5.0300000000000006E-3</v>
      </c>
      <c r="H28" s="402" t="s">
        <v>240</v>
      </c>
      <c r="I28" s="116"/>
      <c r="K28" s="197">
        <v>80000</v>
      </c>
      <c r="L28" s="197">
        <v>16000</v>
      </c>
      <c r="M28" s="142">
        <v>34000</v>
      </c>
      <c r="N28" s="197">
        <f>K28-L28-M28</f>
        <v>30000</v>
      </c>
      <c r="P28" s="197">
        <f t="shared" si="18"/>
        <v>80000</v>
      </c>
      <c r="R28" s="197">
        <v>80000</v>
      </c>
      <c r="S28" s="197">
        <f t="shared" si="19"/>
        <v>16000</v>
      </c>
      <c r="T28" s="197">
        <f t="shared" si="20"/>
        <v>34000</v>
      </c>
      <c r="U28" s="197">
        <f t="shared" si="21"/>
        <v>30000</v>
      </c>
      <c r="V28" s="197">
        <f t="shared" si="22"/>
        <v>0</v>
      </c>
      <c r="W28" s="197">
        <f t="shared" si="23"/>
        <v>80000</v>
      </c>
    </row>
    <row r="29" spans="1:26" x14ac:dyDescent="0.4">
      <c r="G29" s="405"/>
      <c r="K29" s="197">
        <v>100000</v>
      </c>
      <c r="L29" s="197">
        <v>16000</v>
      </c>
      <c r="M29" s="142">
        <v>34000</v>
      </c>
      <c r="N29" s="197">
        <f>K29-L29-M29</f>
        <v>50000</v>
      </c>
      <c r="P29" s="197">
        <f t="shared" si="18"/>
        <v>100000</v>
      </c>
      <c r="R29" s="197">
        <v>100000</v>
      </c>
      <c r="S29" s="197">
        <f t="shared" si="19"/>
        <v>16000</v>
      </c>
      <c r="T29" s="197">
        <f t="shared" si="20"/>
        <v>34000</v>
      </c>
      <c r="U29" s="197">
        <f t="shared" si="21"/>
        <v>50000</v>
      </c>
      <c r="V29" s="197">
        <f t="shared" si="22"/>
        <v>0</v>
      </c>
      <c r="W29" s="197">
        <f t="shared" si="23"/>
        <v>100000</v>
      </c>
    </row>
    <row r="30" spans="1:26" x14ac:dyDescent="0.4">
      <c r="E30" s="514"/>
      <c r="F30" s="116"/>
      <c r="K30" s="197">
        <v>120000</v>
      </c>
      <c r="L30" s="197">
        <v>16000</v>
      </c>
      <c r="M30" s="142">
        <v>34000</v>
      </c>
      <c r="N30" s="197">
        <v>50000</v>
      </c>
      <c r="O30" s="197">
        <f>K30-L30-M30-N30</f>
        <v>20000</v>
      </c>
      <c r="P30" s="197">
        <f t="shared" si="18"/>
        <v>120000</v>
      </c>
      <c r="R30" s="197">
        <v>120000</v>
      </c>
      <c r="S30" s="197">
        <f t="shared" si="19"/>
        <v>16000</v>
      </c>
      <c r="T30" s="197">
        <f t="shared" si="20"/>
        <v>34000</v>
      </c>
      <c r="U30" s="197">
        <f t="shared" si="21"/>
        <v>50000</v>
      </c>
      <c r="V30" s="197">
        <f t="shared" si="22"/>
        <v>20000</v>
      </c>
      <c r="W30" s="197">
        <f t="shared" si="23"/>
        <v>120000</v>
      </c>
    </row>
    <row r="31" spans="1:26" x14ac:dyDescent="0.4">
      <c r="E31" s="514"/>
      <c r="F31" s="116"/>
      <c r="K31" s="197">
        <v>140000</v>
      </c>
      <c r="L31" s="197">
        <v>16000</v>
      </c>
      <c r="M31" s="142">
        <v>34000</v>
      </c>
      <c r="N31" s="197">
        <v>50000</v>
      </c>
      <c r="O31" s="197">
        <f>K31-L31-M31-N31</f>
        <v>40000</v>
      </c>
      <c r="P31" s="197">
        <f t="shared" si="18"/>
        <v>140000</v>
      </c>
      <c r="R31" s="197">
        <v>140000</v>
      </c>
      <c r="S31" s="197">
        <f t="shared" si="19"/>
        <v>16000</v>
      </c>
      <c r="T31" s="197">
        <f t="shared" si="20"/>
        <v>34000</v>
      </c>
      <c r="U31" s="197">
        <f t="shared" si="21"/>
        <v>50000</v>
      </c>
      <c r="V31" s="197">
        <f t="shared" si="22"/>
        <v>40000</v>
      </c>
      <c r="W31" s="197">
        <f t="shared" si="23"/>
        <v>140000</v>
      </c>
    </row>
    <row r="32" spans="1:26" x14ac:dyDescent="0.4">
      <c r="E32" s="514"/>
      <c r="F32" s="116"/>
    </row>
    <row r="33" spans="3:23" x14ac:dyDescent="0.4">
      <c r="E33" s="514"/>
      <c r="F33" s="116"/>
      <c r="K33" s="197">
        <v>30000</v>
      </c>
      <c r="L33" s="138">
        <f>L25</f>
        <v>118.66999999999999</v>
      </c>
      <c r="M33" s="138">
        <f>M26*M$25</f>
        <v>85.68</v>
      </c>
      <c r="N33" s="138">
        <f t="shared" ref="N33:O33" si="25">N26*N$25</f>
        <v>0</v>
      </c>
      <c r="O33" s="138">
        <f t="shared" si="25"/>
        <v>0</v>
      </c>
      <c r="P33" s="138">
        <f t="shared" ref="P33:P38" si="26">SUM(L33:O33)</f>
        <v>204.35</v>
      </c>
      <c r="R33" s="197">
        <v>30000</v>
      </c>
      <c r="S33" s="138">
        <f>S25</f>
        <v>136.09</v>
      </c>
      <c r="T33" s="138">
        <f>T26*T$25</f>
        <v>98.28</v>
      </c>
      <c r="U33" s="138">
        <f t="shared" ref="U33:V33" si="27">U26*U$25</f>
        <v>0</v>
      </c>
      <c r="V33" s="138">
        <f t="shared" si="27"/>
        <v>0</v>
      </c>
      <c r="W33" s="138">
        <f t="shared" ref="W33:W38" si="28">SUM(S33:V33)</f>
        <v>234.37</v>
      </c>
    </row>
    <row r="34" spans="3:23" x14ac:dyDescent="0.4">
      <c r="E34" s="514"/>
      <c r="F34" s="116"/>
      <c r="K34" s="197">
        <v>60000</v>
      </c>
      <c r="L34" s="138">
        <f>L33</f>
        <v>118.66999999999999</v>
      </c>
      <c r="M34" s="138">
        <f t="shared" ref="M34:O38" si="29">M27*M$25</f>
        <v>208.08</v>
      </c>
      <c r="N34" s="138">
        <f t="shared" si="29"/>
        <v>52.7</v>
      </c>
      <c r="O34" s="138">
        <f t="shared" si="29"/>
        <v>0</v>
      </c>
      <c r="P34" s="138">
        <f t="shared" si="26"/>
        <v>379.45</v>
      </c>
      <c r="R34" s="197">
        <v>60000</v>
      </c>
      <c r="S34" s="138">
        <f>S33</f>
        <v>136.09</v>
      </c>
      <c r="T34" s="138">
        <f t="shared" ref="T34:V34" si="30">T27*T$25</f>
        <v>238.68</v>
      </c>
      <c r="U34" s="138">
        <f t="shared" si="30"/>
        <v>60.400000000000006</v>
      </c>
      <c r="V34" s="138">
        <f t="shared" si="30"/>
        <v>0</v>
      </c>
      <c r="W34" s="138">
        <f t="shared" si="28"/>
        <v>435.16999999999996</v>
      </c>
    </row>
    <row r="35" spans="3:23" x14ac:dyDescent="0.4">
      <c r="E35" s="514"/>
      <c r="F35" s="116"/>
      <c r="K35" s="197">
        <v>80000</v>
      </c>
      <c r="L35" s="138">
        <f t="shared" ref="L35:L38" si="31">L34</f>
        <v>118.66999999999999</v>
      </c>
      <c r="M35" s="138">
        <f t="shared" si="29"/>
        <v>208.08</v>
      </c>
      <c r="N35" s="138">
        <f t="shared" si="29"/>
        <v>158.10000000000002</v>
      </c>
      <c r="O35" s="138">
        <f t="shared" si="29"/>
        <v>0</v>
      </c>
      <c r="P35" s="138">
        <f t="shared" si="26"/>
        <v>484.85</v>
      </c>
      <c r="R35" s="197">
        <v>80000</v>
      </c>
      <c r="S35" s="138">
        <f t="shared" ref="S35:S38" si="32">S34</f>
        <v>136.09</v>
      </c>
      <c r="T35" s="138">
        <f t="shared" ref="T35:V35" si="33">T28*T$25</f>
        <v>238.68</v>
      </c>
      <c r="U35" s="138">
        <f t="shared" si="33"/>
        <v>181.20000000000002</v>
      </c>
      <c r="V35" s="138">
        <f t="shared" si="33"/>
        <v>0</v>
      </c>
      <c r="W35" s="138">
        <f t="shared" si="28"/>
        <v>555.97</v>
      </c>
    </row>
    <row r="36" spans="3:23" x14ac:dyDescent="0.4">
      <c r="E36" s="514"/>
      <c r="F36" s="116"/>
      <c r="K36" s="197">
        <v>100000</v>
      </c>
      <c r="L36" s="138">
        <f t="shared" si="31"/>
        <v>118.66999999999999</v>
      </c>
      <c r="M36" s="138">
        <f t="shared" si="29"/>
        <v>208.08</v>
      </c>
      <c r="N36" s="138">
        <f t="shared" si="29"/>
        <v>263.5</v>
      </c>
      <c r="O36" s="138">
        <f t="shared" si="29"/>
        <v>0</v>
      </c>
      <c r="P36" s="138">
        <f t="shared" si="26"/>
        <v>590.25</v>
      </c>
      <c r="R36" s="197">
        <v>100000</v>
      </c>
      <c r="S36" s="138">
        <f t="shared" si="32"/>
        <v>136.09</v>
      </c>
      <c r="T36" s="138">
        <f t="shared" ref="T36:V36" si="34">T29*T$25</f>
        <v>238.68</v>
      </c>
      <c r="U36" s="138">
        <f t="shared" si="34"/>
        <v>302</v>
      </c>
      <c r="V36" s="138">
        <f t="shared" si="34"/>
        <v>0</v>
      </c>
      <c r="W36" s="138">
        <f t="shared" si="28"/>
        <v>676.77</v>
      </c>
    </row>
    <row r="37" spans="3:23" x14ac:dyDescent="0.4">
      <c r="E37" s="514"/>
      <c r="F37" s="116"/>
      <c r="K37" s="197">
        <v>120000</v>
      </c>
      <c r="L37" s="138">
        <f t="shared" si="31"/>
        <v>118.66999999999999</v>
      </c>
      <c r="M37" s="138">
        <f t="shared" si="29"/>
        <v>208.08</v>
      </c>
      <c r="N37" s="138">
        <f t="shared" si="29"/>
        <v>263.5</v>
      </c>
      <c r="O37" s="138">
        <f t="shared" si="29"/>
        <v>87.800000000000011</v>
      </c>
      <c r="P37" s="138">
        <f t="shared" si="26"/>
        <v>678.05</v>
      </c>
      <c r="R37" s="197">
        <v>120000</v>
      </c>
      <c r="S37" s="138">
        <f t="shared" si="32"/>
        <v>136.09</v>
      </c>
      <c r="T37" s="138">
        <f t="shared" ref="T37:V37" si="35">T30*T$25</f>
        <v>238.68</v>
      </c>
      <c r="U37" s="138">
        <f t="shared" si="35"/>
        <v>302</v>
      </c>
      <c r="V37" s="138">
        <f t="shared" si="35"/>
        <v>100.60000000000001</v>
      </c>
      <c r="W37" s="138">
        <f t="shared" si="28"/>
        <v>777.37</v>
      </c>
    </row>
    <row r="38" spans="3:23" x14ac:dyDescent="0.4">
      <c r="E38" s="514"/>
      <c r="F38" s="116"/>
      <c r="K38" s="197">
        <v>140000</v>
      </c>
      <c r="L38" s="138">
        <f t="shared" si="31"/>
        <v>118.66999999999999</v>
      </c>
      <c r="M38" s="138">
        <f t="shared" si="29"/>
        <v>208.08</v>
      </c>
      <c r="N38" s="138">
        <f t="shared" si="29"/>
        <v>263.5</v>
      </c>
      <c r="O38" s="138">
        <f t="shared" si="29"/>
        <v>175.60000000000002</v>
      </c>
      <c r="P38" s="138">
        <f t="shared" si="26"/>
        <v>765.85</v>
      </c>
      <c r="R38" s="197">
        <v>140000</v>
      </c>
      <c r="S38" s="138">
        <f t="shared" si="32"/>
        <v>136.09</v>
      </c>
      <c r="T38" s="138">
        <f t="shared" ref="T38:V38" si="36">T31*T$25</f>
        <v>238.68</v>
      </c>
      <c r="U38" s="138">
        <f t="shared" si="36"/>
        <v>302</v>
      </c>
      <c r="V38" s="138">
        <f t="shared" si="36"/>
        <v>201.20000000000002</v>
      </c>
      <c r="W38" s="138">
        <f t="shared" si="28"/>
        <v>877.97</v>
      </c>
    </row>
    <row r="39" spans="3:23" x14ac:dyDescent="0.4">
      <c r="C39"/>
      <c r="D39"/>
      <c r="E39"/>
      <c r="F39"/>
      <c r="G39"/>
      <c r="H39"/>
      <c r="I39"/>
      <c r="J39"/>
    </row>
    <row r="40" spans="3:23" x14ac:dyDescent="0.4">
      <c r="C40"/>
      <c r="D40"/>
      <c r="E40"/>
      <c r="F40"/>
      <c r="G40"/>
      <c r="H40"/>
      <c r="I40"/>
      <c r="J40"/>
    </row>
    <row r="41" spans="3:23" x14ac:dyDescent="0.4">
      <c r="C41"/>
      <c r="D41"/>
      <c r="E41"/>
      <c r="F41"/>
      <c r="G41"/>
      <c r="H41"/>
      <c r="I41"/>
      <c r="J41"/>
    </row>
    <row r="42" spans="3:23" x14ac:dyDescent="0.4">
      <c r="C42"/>
      <c r="D42"/>
      <c r="E42"/>
      <c r="F42"/>
      <c r="G42"/>
      <c r="H42"/>
      <c r="I42"/>
      <c r="J42"/>
    </row>
    <row r="43" spans="3:23" x14ac:dyDescent="0.4">
      <c r="C43"/>
      <c r="D43"/>
      <c r="E43"/>
      <c r="F43"/>
      <c r="G43"/>
      <c r="H43"/>
      <c r="I43"/>
      <c r="J43"/>
    </row>
    <row r="44" spans="3:23" x14ac:dyDescent="0.4">
      <c r="C44"/>
      <c r="D44"/>
      <c r="E44"/>
      <c r="F44"/>
      <c r="G44"/>
      <c r="H44"/>
      <c r="I44"/>
      <c r="J44"/>
    </row>
    <row r="45" spans="3:23" x14ac:dyDescent="0.4">
      <c r="C45"/>
      <c r="D45"/>
      <c r="E45"/>
      <c r="F45"/>
      <c r="G45"/>
      <c r="H45"/>
      <c r="I45"/>
      <c r="J45"/>
    </row>
    <row r="46" spans="3:23" x14ac:dyDescent="0.4">
      <c r="C46"/>
      <c r="D46"/>
      <c r="E46"/>
      <c r="F46"/>
      <c r="G46"/>
      <c r="H46"/>
      <c r="I46"/>
      <c r="J46"/>
    </row>
    <row r="47" spans="3:23" x14ac:dyDescent="0.4">
      <c r="C47"/>
      <c r="D47"/>
      <c r="E47"/>
      <c r="F47"/>
      <c r="G47"/>
      <c r="H47"/>
      <c r="I47"/>
      <c r="J47"/>
    </row>
    <row r="48" spans="3:23" x14ac:dyDescent="0.4">
      <c r="C48"/>
      <c r="D48"/>
      <c r="E48"/>
      <c r="F48"/>
      <c r="G48"/>
      <c r="H48"/>
      <c r="I48"/>
      <c r="J48"/>
    </row>
    <row r="49" spans="1:23" x14ac:dyDescent="0.4">
      <c r="C49"/>
      <c r="D49"/>
      <c r="E49"/>
      <c r="F49"/>
      <c r="G49"/>
      <c r="H49"/>
      <c r="I49"/>
      <c r="J49"/>
      <c r="M49" s="197">
        <f>SUM(L52:M52)</f>
        <v>50000</v>
      </c>
    </row>
    <row r="51" spans="1:23" x14ac:dyDescent="0.4">
      <c r="C51" s="512"/>
      <c r="I51" s="513"/>
      <c r="K51" s="686" t="s">
        <v>660</v>
      </c>
      <c r="L51" s="686"/>
      <c r="M51" s="686"/>
      <c r="N51" s="686"/>
      <c r="O51" s="686"/>
      <c r="P51" s="686"/>
      <c r="R51" s="686" t="s">
        <v>660</v>
      </c>
      <c r="S51" s="686"/>
      <c r="T51" s="686"/>
      <c r="U51" s="686"/>
      <c r="V51" s="686"/>
      <c r="W51" s="686"/>
    </row>
    <row r="52" spans="1:23" ht="15.75" x14ac:dyDescent="0.5">
      <c r="A52" s="116" t="s">
        <v>336</v>
      </c>
      <c r="B52" s="142"/>
      <c r="D52" s="403"/>
      <c r="E52" s="402"/>
      <c r="F52" s="29"/>
      <c r="H52" s="142"/>
      <c r="I52" s="116"/>
      <c r="J52" s="403"/>
      <c r="L52" s="142">
        <v>16000</v>
      </c>
      <c r="M52" s="142">
        <v>34000</v>
      </c>
      <c r="N52" s="142">
        <v>50000</v>
      </c>
      <c r="O52" s="142">
        <f>SUM(K52:N52)</f>
        <v>100000</v>
      </c>
      <c r="S52" s="142">
        <v>16000</v>
      </c>
      <c r="T52" s="142">
        <v>34000</v>
      </c>
      <c r="U52" s="142">
        <v>50000</v>
      </c>
      <c r="V52" s="142">
        <f>SUM(R52:U52)</f>
        <v>100000</v>
      </c>
    </row>
    <row r="53" spans="1:23" ht="15.75" x14ac:dyDescent="0.5">
      <c r="A53" s="116" t="s">
        <v>51</v>
      </c>
      <c r="B53" s="142">
        <v>16000</v>
      </c>
      <c r="C53" s="116" t="s">
        <v>188</v>
      </c>
      <c r="D53" s="404" t="e">
        <f>#REF!</f>
        <v>#REF!</v>
      </c>
      <c r="E53" s="402" t="s">
        <v>241</v>
      </c>
      <c r="F53" s="29"/>
      <c r="G53" s="404" t="e">
        <f>#REF!</f>
        <v>#REF!</v>
      </c>
      <c r="H53" s="402" t="s">
        <v>241</v>
      </c>
      <c r="I53" s="116"/>
      <c r="L53" s="404" t="e">
        <f>D53</f>
        <v>#REF!</v>
      </c>
      <c r="M53" s="405" t="e">
        <f>D54</f>
        <v>#REF!</v>
      </c>
      <c r="N53" s="405" t="e">
        <f>D55</f>
        <v>#REF!</v>
      </c>
      <c r="O53" s="405" t="e">
        <f>D56</f>
        <v>#REF!</v>
      </c>
      <c r="S53" s="404" t="e">
        <f>G53</f>
        <v>#REF!</v>
      </c>
      <c r="T53" s="405" t="e">
        <f>G54</f>
        <v>#REF!</v>
      </c>
      <c r="U53" s="405" t="e">
        <f>G55</f>
        <v>#REF!</v>
      </c>
      <c r="V53" s="405" t="e">
        <f>G56</f>
        <v>#REF!</v>
      </c>
    </row>
    <row r="54" spans="1:23" ht="15.75" x14ac:dyDescent="0.5">
      <c r="A54" s="116" t="s">
        <v>52</v>
      </c>
      <c r="B54" s="142">
        <v>34000</v>
      </c>
      <c r="C54" s="116" t="s">
        <v>188</v>
      </c>
      <c r="D54" s="405" t="e">
        <f>#REF!</f>
        <v>#REF!</v>
      </c>
      <c r="E54" s="402" t="s">
        <v>240</v>
      </c>
      <c r="F54" s="29"/>
      <c r="G54" s="405" t="e">
        <f>#REF!</f>
        <v>#REF!</v>
      </c>
      <c r="H54" s="402" t="s">
        <v>240</v>
      </c>
      <c r="I54" s="116"/>
      <c r="K54" s="197">
        <v>30000</v>
      </c>
      <c r="L54" s="197">
        <v>16000</v>
      </c>
      <c r="M54" s="197">
        <f>K54-L54</f>
        <v>14000</v>
      </c>
      <c r="N54" s="197">
        <f>K54-L54-M54</f>
        <v>0</v>
      </c>
      <c r="P54" s="197">
        <f t="shared" ref="P54:P59" si="37">SUM(L54:O54)</f>
        <v>30000</v>
      </c>
      <c r="R54" s="197">
        <v>30000</v>
      </c>
      <c r="S54" s="197">
        <f t="shared" ref="S54:V59" si="38">L54</f>
        <v>16000</v>
      </c>
      <c r="T54" s="197">
        <f t="shared" si="38"/>
        <v>14000</v>
      </c>
      <c r="U54" s="197">
        <f t="shared" si="38"/>
        <v>0</v>
      </c>
      <c r="V54" s="197">
        <f t="shared" si="38"/>
        <v>0</v>
      </c>
      <c r="W54" s="197">
        <f t="shared" ref="W54:W59" si="39">SUM(S54:V54)</f>
        <v>30000</v>
      </c>
    </row>
    <row r="55" spans="1:23" ht="15.75" x14ac:dyDescent="0.5">
      <c r="A55" s="116" t="s">
        <v>52</v>
      </c>
      <c r="B55" s="142">
        <v>50000</v>
      </c>
      <c r="C55" s="116" t="s">
        <v>188</v>
      </c>
      <c r="D55" s="405" t="e">
        <f>#REF!</f>
        <v>#REF!</v>
      </c>
      <c r="E55" s="402" t="s">
        <v>240</v>
      </c>
      <c r="F55" s="29"/>
      <c r="G55" s="405" t="e">
        <f>#REF!</f>
        <v>#REF!</v>
      </c>
      <c r="H55" s="402" t="s">
        <v>240</v>
      </c>
      <c r="I55" s="116"/>
      <c r="K55" s="197">
        <v>60000</v>
      </c>
      <c r="L55" s="197">
        <v>16000</v>
      </c>
      <c r="M55" s="142">
        <v>34000</v>
      </c>
      <c r="N55" s="197">
        <f>K55-L55-M55</f>
        <v>10000</v>
      </c>
      <c r="P55" s="197">
        <f t="shared" si="37"/>
        <v>60000</v>
      </c>
      <c r="R55" s="197">
        <v>60000</v>
      </c>
      <c r="S55" s="197">
        <f t="shared" si="38"/>
        <v>16000</v>
      </c>
      <c r="T55" s="197">
        <f t="shared" si="38"/>
        <v>34000</v>
      </c>
      <c r="U55" s="197">
        <f t="shared" si="38"/>
        <v>10000</v>
      </c>
      <c r="V55" s="197">
        <f t="shared" si="38"/>
        <v>0</v>
      </c>
      <c r="W55" s="197">
        <f t="shared" si="39"/>
        <v>60000</v>
      </c>
    </row>
    <row r="56" spans="1:23" ht="15.75" x14ac:dyDescent="0.5">
      <c r="A56" s="116" t="s">
        <v>114</v>
      </c>
      <c r="B56" s="142">
        <f>SUM(B52:B55)</f>
        <v>100000</v>
      </c>
      <c r="C56" s="116" t="s">
        <v>188</v>
      </c>
      <c r="D56" s="405" t="e">
        <f>#REF!</f>
        <v>#REF!</v>
      </c>
      <c r="E56" s="402" t="s">
        <v>240</v>
      </c>
      <c r="F56" s="29"/>
      <c r="G56" s="405" t="e">
        <f>#REF!</f>
        <v>#REF!</v>
      </c>
      <c r="H56" s="402" t="s">
        <v>240</v>
      </c>
      <c r="I56" s="116"/>
      <c r="K56" s="197">
        <v>80000</v>
      </c>
      <c r="L56" s="197">
        <v>16000</v>
      </c>
      <c r="M56" s="142">
        <v>34000</v>
      </c>
      <c r="N56" s="197">
        <f>K56-L56-M56</f>
        <v>30000</v>
      </c>
      <c r="P56" s="197">
        <f t="shared" si="37"/>
        <v>80000</v>
      </c>
      <c r="R56" s="197">
        <v>80000</v>
      </c>
      <c r="S56" s="197">
        <f t="shared" si="38"/>
        <v>16000</v>
      </c>
      <c r="T56" s="197">
        <f t="shared" si="38"/>
        <v>34000</v>
      </c>
      <c r="U56" s="197">
        <f t="shared" si="38"/>
        <v>30000</v>
      </c>
      <c r="V56" s="197">
        <f t="shared" si="38"/>
        <v>0</v>
      </c>
      <c r="W56" s="197">
        <f t="shared" si="39"/>
        <v>80000</v>
      </c>
    </row>
    <row r="57" spans="1:23" x14ac:dyDescent="0.4">
      <c r="G57" s="405"/>
      <c r="K57" s="197">
        <v>100000</v>
      </c>
      <c r="L57" s="197">
        <v>16000</v>
      </c>
      <c r="M57" s="142">
        <v>34000</v>
      </c>
      <c r="N57" s="197">
        <f>K57-L57-M57</f>
        <v>50000</v>
      </c>
      <c r="P57" s="197">
        <f t="shared" si="37"/>
        <v>100000</v>
      </c>
      <c r="R57" s="197">
        <v>100000</v>
      </c>
      <c r="S57" s="197">
        <f t="shared" si="38"/>
        <v>16000</v>
      </c>
      <c r="T57" s="197">
        <f t="shared" si="38"/>
        <v>34000</v>
      </c>
      <c r="U57" s="197">
        <f t="shared" si="38"/>
        <v>50000</v>
      </c>
      <c r="V57" s="197">
        <f t="shared" si="38"/>
        <v>0</v>
      </c>
      <c r="W57" s="197">
        <f t="shared" si="39"/>
        <v>100000</v>
      </c>
    </row>
    <row r="58" spans="1:23" x14ac:dyDescent="0.4">
      <c r="E58" s="514"/>
      <c r="F58" s="116"/>
      <c r="K58" s="197">
        <v>120000</v>
      </c>
      <c r="L58" s="197">
        <v>16000</v>
      </c>
      <c r="M58" s="142">
        <v>34000</v>
      </c>
      <c r="N58" s="197">
        <v>50000</v>
      </c>
      <c r="O58" s="197">
        <f>K58-L58-M58-N58</f>
        <v>20000</v>
      </c>
      <c r="P58" s="197">
        <f t="shared" si="37"/>
        <v>120000</v>
      </c>
      <c r="R58" s="197">
        <v>120000</v>
      </c>
      <c r="S58" s="197">
        <f t="shared" si="38"/>
        <v>16000</v>
      </c>
      <c r="T58" s="197">
        <f t="shared" si="38"/>
        <v>34000</v>
      </c>
      <c r="U58" s="197">
        <f t="shared" si="38"/>
        <v>50000</v>
      </c>
      <c r="V58" s="197">
        <f t="shared" si="38"/>
        <v>20000</v>
      </c>
      <c r="W58" s="197">
        <f t="shared" si="39"/>
        <v>120000</v>
      </c>
    </row>
    <row r="59" spans="1:23" x14ac:dyDescent="0.4">
      <c r="E59" s="514"/>
      <c r="F59" s="116"/>
      <c r="K59" s="197">
        <v>140000</v>
      </c>
      <c r="L59" s="197">
        <v>16000</v>
      </c>
      <c r="M59" s="142">
        <v>34000</v>
      </c>
      <c r="N59" s="197">
        <v>50000</v>
      </c>
      <c r="O59" s="197">
        <f>K59-L59-M59-N59</f>
        <v>40000</v>
      </c>
      <c r="P59" s="197">
        <f t="shared" si="37"/>
        <v>140000</v>
      </c>
      <c r="R59" s="197">
        <v>140000</v>
      </c>
      <c r="S59" s="197">
        <f t="shared" si="38"/>
        <v>16000</v>
      </c>
      <c r="T59" s="197">
        <f t="shared" si="38"/>
        <v>34000</v>
      </c>
      <c r="U59" s="197">
        <f t="shared" si="38"/>
        <v>50000</v>
      </c>
      <c r="V59" s="197">
        <f t="shared" si="38"/>
        <v>40000</v>
      </c>
      <c r="W59" s="197">
        <f t="shared" si="39"/>
        <v>140000</v>
      </c>
    </row>
    <row r="60" spans="1:23" x14ac:dyDescent="0.4">
      <c r="E60" s="514"/>
      <c r="F60" s="116"/>
    </row>
    <row r="61" spans="1:23" x14ac:dyDescent="0.4">
      <c r="E61" s="514"/>
      <c r="F61" s="116"/>
      <c r="K61" s="197">
        <v>30000</v>
      </c>
      <c r="L61" s="138" t="e">
        <f>L53</f>
        <v>#REF!</v>
      </c>
      <c r="M61" s="138" t="e">
        <f t="shared" ref="M61:M66" si="40">M54*M$53</f>
        <v>#REF!</v>
      </c>
      <c r="N61" s="138"/>
      <c r="O61" s="138"/>
      <c r="P61" s="138" t="e">
        <f t="shared" ref="P61:P66" si="41">SUM(L61:O61)</f>
        <v>#REF!</v>
      </c>
      <c r="R61" s="197">
        <v>30000</v>
      </c>
      <c r="S61" s="138" t="e">
        <f>S53</f>
        <v>#REF!</v>
      </c>
      <c r="T61" s="138" t="e">
        <f t="shared" ref="T61:T66" si="42">T54*T$53</f>
        <v>#REF!</v>
      </c>
      <c r="U61" s="138"/>
      <c r="V61" s="138"/>
      <c r="W61" s="138" t="e">
        <f t="shared" ref="W61:W66" si="43">SUM(S61:V61)</f>
        <v>#REF!</v>
      </c>
    </row>
    <row r="62" spans="1:23" x14ac:dyDescent="0.4">
      <c r="E62" s="514"/>
      <c r="F62" s="116"/>
      <c r="K62" s="197">
        <v>60000</v>
      </c>
      <c r="L62" s="138" t="e">
        <f>L61</f>
        <v>#REF!</v>
      </c>
      <c r="M62" s="138" t="e">
        <f t="shared" si="40"/>
        <v>#REF!</v>
      </c>
      <c r="N62" s="138" t="e">
        <f>N55*N$53</f>
        <v>#REF!</v>
      </c>
      <c r="O62" s="138"/>
      <c r="P62" s="138" t="e">
        <f t="shared" si="41"/>
        <v>#REF!</v>
      </c>
      <c r="R62" s="197">
        <v>60000</v>
      </c>
      <c r="S62" s="138" t="e">
        <f>S61</f>
        <v>#REF!</v>
      </c>
      <c r="T62" s="138" t="e">
        <f t="shared" si="42"/>
        <v>#REF!</v>
      </c>
      <c r="U62" s="138" t="e">
        <f>U55*U$53</f>
        <v>#REF!</v>
      </c>
      <c r="V62" s="138"/>
      <c r="W62" s="138" t="e">
        <f t="shared" si="43"/>
        <v>#REF!</v>
      </c>
    </row>
    <row r="63" spans="1:23" x14ac:dyDescent="0.4">
      <c r="E63" s="514"/>
      <c r="F63" s="116"/>
      <c r="K63" s="197">
        <v>80000</v>
      </c>
      <c r="L63" s="138" t="e">
        <f t="shared" ref="L63:L66" si="44">L62</f>
        <v>#REF!</v>
      </c>
      <c r="M63" s="138" t="e">
        <f t="shared" si="40"/>
        <v>#REF!</v>
      </c>
      <c r="N63" s="138" t="e">
        <f>N56*N$53</f>
        <v>#REF!</v>
      </c>
      <c r="O63" s="138"/>
      <c r="P63" s="138" t="e">
        <f t="shared" si="41"/>
        <v>#REF!</v>
      </c>
      <c r="R63" s="197">
        <v>80000</v>
      </c>
      <c r="S63" s="138" t="e">
        <f t="shared" ref="S63:S66" si="45">S62</f>
        <v>#REF!</v>
      </c>
      <c r="T63" s="138" t="e">
        <f t="shared" si="42"/>
        <v>#REF!</v>
      </c>
      <c r="U63" s="138" t="e">
        <f>U56*U$53</f>
        <v>#REF!</v>
      </c>
      <c r="V63" s="138"/>
      <c r="W63" s="138" t="e">
        <f t="shared" si="43"/>
        <v>#REF!</v>
      </c>
    </row>
    <row r="64" spans="1:23" x14ac:dyDescent="0.4">
      <c r="E64" s="514"/>
      <c r="F64" s="116"/>
      <c r="K64" s="197">
        <v>100000</v>
      </c>
      <c r="L64" s="138" t="e">
        <f t="shared" si="44"/>
        <v>#REF!</v>
      </c>
      <c r="M64" s="138" t="e">
        <f t="shared" si="40"/>
        <v>#REF!</v>
      </c>
      <c r="N64" s="138" t="e">
        <f>N57*N$53</f>
        <v>#REF!</v>
      </c>
      <c r="O64" s="138"/>
      <c r="P64" s="138" t="e">
        <f t="shared" si="41"/>
        <v>#REF!</v>
      </c>
      <c r="R64" s="197">
        <v>100000</v>
      </c>
      <c r="S64" s="138" t="e">
        <f t="shared" si="45"/>
        <v>#REF!</v>
      </c>
      <c r="T64" s="138" t="e">
        <f t="shared" si="42"/>
        <v>#REF!</v>
      </c>
      <c r="U64" s="138" t="e">
        <f>U57*U$53</f>
        <v>#REF!</v>
      </c>
      <c r="V64" s="138"/>
      <c r="W64" s="138" t="e">
        <f t="shared" si="43"/>
        <v>#REF!</v>
      </c>
    </row>
    <row r="65" spans="5:23" x14ac:dyDescent="0.4">
      <c r="E65" s="514"/>
      <c r="F65" s="116"/>
      <c r="K65" s="197">
        <v>120000</v>
      </c>
      <c r="L65" s="138" t="e">
        <f t="shared" si="44"/>
        <v>#REF!</v>
      </c>
      <c r="M65" s="138" t="e">
        <f t="shared" si="40"/>
        <v>#REF!</v>
      </c>
      <c r="N65" s="138" t="e">
        <f>N58*N$53</f>
        <v>#REF!</v>
      </c>
      <c r="O65" s="138" t="e">
        <f>O58*O$53</f>
        <v>#REF!</v>
      </c>
      <c r="P65" s="138" t="e">
        <f t="shared" si="41"/>
        <v>#REF!</v>
      </c>
      <c r="R65" s="197">
        <v>120000</v>
      </c>
      <c r="S65" s="138" t="e">
        <f t="shared" si="45"/>
        <v>#REF!</v>
      </c>
      <c r="T65" s="138" t="e">
        <f t="shared" si="42"/>
        <v>#REF!</v>
      </c>
      <c r="U65" s="138" t="e">
        <f>U58*U$53</f>
        <v>#REF!</v>
      </c>
      <c r="V65" s="138" t="e">
        <f>V58*V$53</f>
        <v>#REF!</v>
      </c>
      <c r="W65" s="138" t="e">
        <f t="shared" si="43"/>
        <v>#REF!</v>
      </c>
    </row>
    <row r="66" spans="5:23" x14ac:dyDescent="0.4">
      <c r="E66" s="514"/>
      <c r="F66" s="116"/>
      <c r="K66" s="197">
        <v>140000</v>
      </c>
      <c r="L66" s="138" t="e">
        <f t="shared" si="44"/>
        <v>#REF!</v>
      </c>
      <c r="M66" s="138" t="e">
        <f t="shared" si="40"/>
        <v>#REF!</v>
      </c>
      <c r="N66" s="138" t="e">
        <f>N59*N$53</f>
        <v>#REF!</v>
      </c>
      <c r="O66" s="138" t="e">
        <f>O59*O$53</f>
        <v>#REF!</v>
      </c>
      <c r="P66" s="138" t="e">
        <f t="shared" si="41"/>
        <v>#REF!</v>
      </c>
      <c r="R66" s="197">
        <v>140000</v>
      </c>
      <c r="S66" s="138" t="e">
        <f t="shared" si="45"/>
        <v>#REF!</v>
      </c>
      <c r="T66" s="138" t="e">
        <f t="shared" si="42"/>
        <v>#REF!</v>
      </c>
      <c r="U66" s="138" t="e">
        <f>U59*U$53</f>
        <v>#REF!</v>
      </c>
      <c r="V66" s="138" t="e">
        <f>V59*V$53</f>
        <v>#REF!</v>
      </c>
      <c r="W66" s="138" t="e">
        <f t="shared" si="43"/>
        <v>#REF!</v>
      </c>
    </row>
    <row r="67" spans="5:23" x14ac:dyDescent="0.4">
      <c r="E67" s="514"/>
      <c r="F67" s="116"/>
    </row>
  </sheetData>
  <mergeCells count="12">
    <mergeCell ref="K51:P51"/>
    <mergeCell ref="R51:W51"/>
    <mergeCell ref="A1:Z1"/>
    <mergeCell ref="K3:P3"/>
    <mergeCell ref="R3:W3"/>
    <mergeCell ref="D4:E4"/>
    <mergeCell ref="G4:I4"/>
    <mergeCell ref="A21:Z21"/>
    <mergeCell ref="K23:P23"/>
    <mergeCell ref="R23:W23"/>
    <mergeCell ref="D24:E24"/>
    <mergeCell ref="G24:I2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30F5-14A3-47F4-A31A-14504025DB70}">
  <dimension ref="A1:Z66"/>
  <sheetViews>
    <sheetView workbookViewId="0">
      <selection activeCell="D3" sqref="D3:I3"/>
    </sheetView>
  </sheetViews>
  <sheetFormatPr defaultRowHeight="15" x14ac:dyDescent="0.4"/>
  <cols>
    <col min="3" max="3" width="7.554687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11.44140625" style="197" bestFit="1" customWidth="1"/>
    <col min="12" max="14" width="10.44140625" style="197" bestFit="1" customWidth="1"/>
    <col min="15" max="15" width="11.44140625" style="197" bestFit="1" customWidth="1"/>
    <col min="18" max="18" width="11.44140625" style="197" bestFit="1" customWidth="1"/>
    <col min="19" max="21" width="10.44140625" style="197" bestFit="1" customWidth="1"/>
    <col min="22" max="22" width="11.44140625" style="197" bestFit="1" customWidth="1"/>
  </cols>
  <sheetData>
    <row r="1" spans="1:26" ht="20.65" x14ac:dyDescent="0.6">
      <c r="A1" s="685" t="s">
        <v>689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</row>
    <row r="2" spans="1:26" x14ac:dyDescent="0.4">
      <c r="C2" s="512"/>
      <c r="I2" s="513"/>
      <c r="K2" s="686" t="s">
        <v>660</v>
      </c>
      <c r="L2" s="686"/>
      <c r="M2" s="686"/>
      <c r="N2" s="686"/>
      <c r="O2" s="686"/>
      <c r="P2" s="686"/>
      <c r="R2" s="686" t="s">
        <v>700</v>
      </c>
      <c r="S2" s="686"/>
      <c r="T2" s="686"/>
      <c r="U2" s="686"/>
      <c r="V2" s="686"/>
      <c r="W2" s="686"/>
    </row>
    <row r="3" spans="1:26" ht="15.75" x14ac:dyDescent="0.5">
      <c r="A3" s="116" t="s">
        <v>338</v>
      </c>
      <c r="B3" s="142"/>
      <c r="D3" s="684" t="s">
        <v>660</v>
      </c>
      <c r="E3" s="684"/>
      <c r="F3" s="14"/>
      <c r="G3" s="657" t="s">
        <v>696</v>
      </c>
      <c r="H3" s="657"/>
      <c r="I3" s="657"/>
      <c r="J3" s="403"/>
      <c r="L3" s="142">
        <v>30000</v>
      </c>
      <c r="M3" s="142">
        <v>20000</v>
      </c>
      <c r="N3" s="142">
        <v>50000</v>
      </c>
      <c r="O3" s="142">
        <f>SUM(K3:N3)</f>
        <v>100000</v>
      </c>
      <c r="S3" s="142">
        <v>30000</v>
      </c>
      <c r="T3" s="142">
        <v>20000</v>
      </c>
      <c r="U3" s="142">
        <v>50000</v>
      </c>
      <c r="V3" s="142">
        <f>SUM(R3:U3)</f>
        <v>100000</v>
      </c>
    </row>
    <row r="4" spans="1:26" ht="15.75" x14ac:dyDescent="0.5">
      <c r="A4" s="116" t="s">
        <v>51</v>
      </c>
      <c r="B4" s="142">
        <v>30000</v>
      </c>
      <c r="C4" s="116" t="s">
        <v>188</v>
      </c>
      <c r="D4" s="404">
        <f>'Table C'!F41</f>
        <v>227.81</v>
      </c>
      <c r="E4" s="402" t="s">
        <v>241</v>
      </c>
      <c r="F4" s="29"/>
      <c r="G4" s="404">
        <f>'Table C'!I41</f>
        <v>266.53000000000003</v>
      </c>
      <c r="H4" s="402" t="s">
        <v>241</v>
      </c>
      <c r="I4" s="116"/>
      <c r="L4" s="404">
        <f>D4</f>
        <v>227.81</v>
      </c>
      <c r="M4" s="405">
        <f>D5</f>
        <v>5.2399999999999999E-3</v>
      </c>
      <c r="N4" s="405">
        <f>D6</f>
        <v>4.5100000000000001E-3</v>
      </c>
      <c r="O4" s="405">
        <f>D7</f>
        <v>3.7599999999999999E-3</v>
      </c>
      <c r="S4" s="404">
        <f>G4</f>
        <v>266.53000000000003</v>
      </c>
      <c r="T4" s="405">
        <f>G5</f>
        <v>6.1200000000000004E-3</v>
      </c>
      <c r="U4" s="405">
        <f>G6</f>
        <v>5.2700000000000004E-3</v>
      </c>
      <c r="V4" s="405">
        <f>G7</f>
        <v>4.3900000000000007E-3</v>
      </c>
    </row>
    <row r="5" spans="1:26" ht="15.75" x14ac:dyDescent="0.5">
      <c r="A5" s="116" t="s">
        <v>52</v>
      </c>
      <c r="B5" s="142">
        <v>20000</v>
      </c>
      <c r="C5" s="116" t="s">
        <v>188</v>
      </c>
      <c r="D5" s="405">
        <f>'Table C'!F42</f>
        <v>5.2399999999999999E-3</v>
      </c>
      <c r="E5" s="402" t="s">
        <v>240</v>
      </c>
      <c r="F5" s="29"/>
      <c r="G5" s="405">
        <f>'Table C'!I42</f>
        <v>6.1200000000000004E-3</v>
      </c>
      <c r="H5" s="402" t="s">
        <v>240</v>
      </c>
      <c r="I5" s="116"/>
      <c r="K5" s="197">
        <v>60000</v>
      </c>
      <c r="L5" s="197">
        <v>30000</v>
      </c>
      <c r="M5" s="142">
        <v>20000</v>
      </c>
      <c r="N5" s="197">
        <f>K5-L5-M5</f>
        <v>10000</v>
      </c>
      <c r="P5" s="197">
        <f>SUM(L5:O5)</f>
        <v>60000</v>
      </c>
      <c r="R5" s="197">
        <v>60000</v>
      </c>
      <c r="S5" s="197">
        <f t="shared" ref="S5:S9" si="0">L5</f>
        <v>30000</v>
      </c>
      <c r="T5" s="197">
        <f t="shared" ref="T5:T9" si="1">M5</f>
        <v>20000</v>
      </c>
      <c r="U5" s="197">
        <f t="shared" ref="U5:U9" si="2">N5</f>
        <v>10000</v>
      </c>
      <c r="V5" s="197">
        <f t="shared" ref="V5:V9" si="3">O5</f>
        <v>0</v>
      </c>
      <c r="W5" s="197">
        <f>SUM(S5:V5)</f>
        <v>60000</v>
      </c>
    </row>
    <row r="6" spans="1:26" ht="15.75" x14ac:dyDescent="0.5">
      <c r="A6" s="116" t="s">
        <v>52</v>
      </c>
      <c r="B6" s="142">
        <v>50000</v>
      </c>
      <c r="C6" s="116" t="s">
        <v>188</v>
      </c>
      <c r="D6" s="405">
        <f>'Table C'!F43</f>
        <v>4.5100000000000001E-3</v>
      </c>
      <c r="E6" s="402" t="s">
        <v>240</v>
      </c>
      <c r="F6" s="29"/>
      <c r="G6" s="405">
        <f>'Table C'!I43</f>
        <v>5.2700000000000004E-3</v>
      </c>
      <c r="H6" s="402" t="s">
        <v>240</v>
      </c>
      <c r="I6" s="116"/>
      <c r="K6" s="197">
        <v>80000</v>
      </c>
      <c r="L6" s="197">
        <v>30000</v>
      </c>
      <c r="M6" s="142">
        <v>20000</v>
      </c>
      <c r="N6" s="197">
        <f>K6-L6-M6</f>
        <v>30000</v>
      </c>
      <c r="P6" s="197">
        <f>SUM(L6:O6)</f>
        <v>80000</v>
      </c>
      <c r="R6" s="197">
        <v>80000</v>
      </c>
      <c r="S6" s="197">
        <f t="shared" si="0"/>
        <v>30000</v>
      </c>
      <c r="T6" s="197">
        <f t="shared" si="1"/>
        <v>20000</v>
      </c>
      <c r="U6" s="197">
        <f t="shared" si="2"/>
        <v>30000</v>
      </c>
      <c r="V6" s="197">
        <f t="shared" si="3"/>
        <v>0</v>
      </c>
      <c r="W6" s="197">
        <f>SUM(S6:V6)</f>
        <v>80000</v>
      </c>
    </row>
    <row r="7" spans="1:26" ht="15.75" x14ac:dyDescent="0.5">
      <c r="A7" s="116" t="s">
        <v>114</v>
      </c>
      <c r="B7" s="142">
        <f>SUM(B3:B6)</f>
        <v>100000</v>
      </c>
      <c r="C7" s="116" t="s">
        <v>188</v>
      </c>
      <c r="D7" s="405">
        <f>'Table C'!F44</f>
        <v>3.7599999999999999E-3</v>
      </c>
      <c r="E7" s="402" t="s">
        <v>240</v>
      </c>
      <c r="F7" s="29"/>
      <c r="G7" s="405">
        <f>'Table C'!I44</f>
        <v>4.3900000000000007E-3</v>
      </c>
      <c r="H7" s="402" t="s">
        <v>240</v>
      </c>
      <c r="I7" s="116"/>
      <c r="K7" s="197">
        <v>100000</v>
      </c>
      <c r="L7" s="197">
        <v>30000</v>
      </c>
      <c r="M7" s="142">
        <v>20000</v>
      </c>
      <c r="N7" s="197">
        <f>K7-L7-M7</f>
        <v>50000</v>
      </c>
      <c r="P7" s="197">
        <f>SUM(L7:O7)</f>
        <v>100000</v>
      </c>
      <c r="R7" s="197">
        <v>100000</v>
      </c>
      <c r="S7" s="197">
        <f t="shared" si="0"/>
        <v>30000</v>
      </c>
      <c r="T7" s="197">
        <f t="shared" si="1"/>
        <v>20000</v>
      </c>
      <c r="U7" s="197">
        <f t="shared" si="2"/>
        <v>50000</v>
      </c>
      <c r="V7" s="197">
        <f t="shared" si="3"/>
        <v>0</v>
      </c>
      <c r="W7" s="197">
        <f>SUM(S7:V7)</f>
        <v>100000</v>
      </c>
    </row>
    <row r="8" spans="1:26" x14ac:dyDescent="0.4">
      <c r="G8" s="405"/>
      <c r="K8" s="197">
        <v>120000</v>
      </c>
      <c r="L8" s="197">
        <v>30000</v>
      </c>
      <c r="M8" s="142">
        <v>20000</v>
      </c>
      <c r="N8" s="197">
        <v>50000</v>
      </c>
      <c r="O8" s="197">
        <f>K8-L8-M8-N8</f>
        <v>20000</v>
      </c>
      <c r="P8" s="197">
        <f>SUM(L8:O8)</f>
        <v>120000</v>
      </c>
      <c r="R8" s="197">
        <v>120000</v>
      </c>
      <c r="S8" s="197">
        <f t="shared" si="0"/>
        <v>30000</v>
      </c>
      <c r="T8" s="197">
        <f t="shared" si="1"/>
        <v>20000</v>
      </c>
      <c r="U8" s="197">
        <f t="shared" si="2"/>
        <v>50000</v>
      </c>
      <c r="V8" s="197">
        <f t="shared" si="3"/>
        <v>20000</v>
      </c>
      <c r="W8" s="197">
        <f>SUM(S8:V8)</f>
        <v>120000</v>
      </c>
    </row>
    <row r="9" spans="1:26" x14ac:dyDescent="0.4">
      <c r="E9" s="514"/>
      <c r="F9" s="116"/>
      <c r="K9" s="197">
        <v>140000</v>
      </c>
      <c r="L9" s="197">
        <v>30000</v>
      </c>
      <c r="M9" s="142">
        <v>20000</v>
      </c>
      <c r="N9" s="197">
        <v>50000</v>
      </c>
      <c r="O9" s="197">
        <f>K9-L9-M9-N9</f>
        <v>40000</v>
      </c>
      <c r="P9" s="197">
        <f>SUM(L9:O9)</f>
        <v>140000</v>
      </c>
      <c r="R9" s="197">
        <v>140000</v>
      </c>
      <c r="S9" s="197">
        <f t="shared" si="0"/>
        <v>30000</v>
      </c>
      <c r="T9" s="197">
        <f t="shared" si="1"/>
        <v>20000</v>
      </c>
      <c r="U9" s="197">
        <f t="shared" si="2"/>
        <v>50000</v>
      </c>
      <c r="V9" s="197">
        <f t="shared" si="3"/>
        <v>40000</v>
      </c>
      <c r="W9" s="197">
        <f>SUM(S9:V9)</f>
        <v>140000</v>
      </c>
    </row>
    <row r="10" spans="1:26" x14ac:dyDescent="0.4">
      <c r="E10" s="514"/>
      <c r="F10" s="116"/>
    </row>
    <row r="11" spans="1:26" x14ac:dyDescent="0.4">
      <c r="E11" s="514"/>
      <c r="F11" s="116"/>
      <c r="K11" s="197">
        <v>60000</v>
      </c>
      <c r="L11" s="138">
        <f>L4</f>
        <v>227.81</v>
      </c>
      <c r="M11" s="138">
        <f>M5*M$4</f>
        <v>104.8</v>
      </c>
      <c r="N11" s="138">
        <f t="shared" ref="N11:O11" si="4">N5*N$4</f>
        <v>45.1</v>
      </c>
      <c r="O11" s="138">
        <f t="shared" si="4"/>
        <v>0</v>
      </c>
      <c r="P11" s="138">
        <f>SUM(L11:O11)</f>
        <v>377.71000000000004</v>
      </c>
      <c r="R11" s="197">
        <v>60000</v>
      </c>
      <c r="S11" s="138">
        <f>S4</f>
        <v>266.53000000000003</v>
      </c>
      <c r="T11" s="138">
        <f>T5*T$4</f>
        <v>122.4</v>
      </c>
      <c r="U11" s="138">
        <f t="shared" ref="U11:V11" si="5">U5*U$4</f>
        <v>52.7</v>
      </c>
      <c r="V11" s="138">
        <f t="shared" si="5"/>
        <v>0</v>
      </c>
      <c r="W11" s="138">
        <f>SUM(S11:V11)</f>
        <v>441.63000000000005</v>
      </c>
    </row>
    <row r="12" spans="1:26" x14ac:dyDescent="0.4">
      <c r="E12" s="514"/>
      <c r="F12" s="116"/>
      <c r="K12" s="197">
        <v>80000</v>
      </c>
      <c r="L12" s="138">
        <f t="shared" ref="L12:L15" si="6">L11</f>
        <v>227.81</v>
      </c>
      <c r="M12" s="138">
        <f t="shared" ref="M12:O15" si="7">M6*M$4</f>
        <v>104.8</v>
      </c>
      <c r="N12" s="138">
        <f t="shared" si="7"/>
        <v>135.30000000000001</v>
      </c>
      <c r="O12" s="138">
        <f t="shared" si="7"/>
        <v>0</v>
      </c>
      <c r="P12" s="138">
        <f>SUM(L12:O12)</f>
        <v>467.91</v>
      </c>
      <c r="R12" s="197">
        <v>80000</v>
      </c>
      <c r="S12" s="138">
        <f t="shared" ref="S12:S15" si="8">S11</f>
        <v>266.53000000000003</v>
      </c>
      <c r="T12" s="138">
        <f t="shared" ref="T12:V12" si="9">T6*T$4</f>
        <v>122.4</v>
      </c>
      <c r="U12" s="138">
        <f t="shared" si="9"/>
        <v>158.10000000000002</v>
      </c>
      <c r="V12" s="138">
        <f t="shared" si="9"/>
        <v>0</v>
      </c>
      <c r="W12" s="138">
        <f>SUM(S12:V12)</f>
        <v>547.03000000000009</v>
      </c>
    </row>
    <row r="13" spans="1:26" x14ac:dyDescent="0.4">
      <c r="E13" s="514"/>
      <c r="F13" s="116"/>
      <c r="K13" s="197">
        <v>100000</v>
      </c>
      <c r="L13" s="138">
        <f t="shared" si="6"/>
        <v>227.81</v>
      </c>
      <c r="M13" s="138">
        <f t="shared" si="7"/>
        <v>104.8</v>
      </c>
      <c r="N13" s="138">
        <f t="shared" si="7"/>
        <v>225.5</v>
      </c>
      <c r="O13" s="138">
        <f t="shared" si="7"/>
        <v>0</v>
      </c>
      <c r="P13" s="138">
        <f>SUM(L13:O13)</f>
        <v>558.11</v>
      </c>
      <c r="R13" s="197">
        <v>100000</v>
      </c>
      <c r="S13" s="138">
        <f t="shared" si="8"/>
        <v>266.53000000000003</v>
      </c>
      <c r="T13" s="138">
        <f t="shared" ref="T13:V13" si="10">T7*T$4</f>
        <v>122.4</v>
      </c>
      <c r="U13" s="138">
        <f t="shared" si="10"/>
        <v>263.5</v>
      </c>
      <c r="V13" s="138">
        <f t="shared" si="10"/>
        <v>0</v>
      </c>
      <c r="W13" s="138">
        <f>SUM(S13:V13)</f>
        <v>652.43000000000006</v>
      </c>
    </row>
    <row r="14" spans="1:26" x14ac:dyDescent="0.4">
      <c r="E14" s="514"/>
      <c r="F14" s="116"/>
      <c r="K14" s="197">
        <v>120000</v>
      </c>
      <c r="L14" s="138">
        <f t="shared" si="6"/>
        <v>227.81</v>
      </c>
      <c r="M14" s="138">
        <f t="shared" si="7"/>
        <v>104.8</v>
      </c>
      <c r="N14" s="138">
        <f t="shared" si="7"/>
        <v>225.5</v>
      </c>
      <c r="O14" s="138">
        <f t="shared" si="7"/>
        <v>75.2</v>
      </c>
      <c r="P14" s="138">
        <f>SUM(L14:O14)</f>
        <v>633.31000000000006</v>
      </c>
      <c r="R14" s="197">
        <v>120000</v>
      </c>
      <c r="S14" s="138">
        <f t="shared" si="8"/>
        <v>266.53000000000003</v>
      </c>
      <c r="T14" s="138">
        <f t="shared" ref="T14:V14" si="11">T8*T$4</f>
        <v>122.4</v>
      </c>
      <c r="U14" s="138">
        <f t="shared" si="11"/>
        <v>263.5</v>
      </c>
      <c r="V14" s="138">
        <f t="shared" si="11"/>
        <v>87.800000000000011</v>
      </c>
      <c r="W14" s="138">
        <f>SUM(S14:V14)</f>
        <v>740.23</v>
      </c>
    </row>
    <row r="15" spans="1:26" x14ac:dyDescent="0.4">
      <c r="E15" s="514"/>
      <c r="F15" s="116"/>
      <c r="K15" s="197">
        <v>140000</v>
      </c>
      <c r="L15" s="138">
        <f t="shared" si="6"/>
        <v>227.81</v>
      </c>
      <c r="M15" s="138">
        <f t="shared" si="7"/>
        <v>104.8</v>
      </c>
      <c r="N15" s="138">
        <f t="shared" si="7"/>
        <v>225.5</v>
      </c>
      <c r="O15" s="138">
        <f t="shared" si="7"/>
        <v>150.4</v>
      </c>
      <c r="P15" s="138">
        <f>SUM(L15:O15)</f>
        <v>708.51</v>
      </c>
      <c r="R15" s="197">
        <v>140000</v>
      </c>
      <c r="S15" s="138">
        <f t="shared" si="8"/>
        <v>266.53000000000003</v>
      </c>
      <c r="T15" s="138">
        <f t="shared" ref="T15:V15" si="12">T9*T$4</f>
        <v>122.4</v>
      </c>
      <c r="U15" s="138">
        <f t="shared" si="12"/>
        <v>263.5</v>
      </c>
      <c r="V15" s="138">
        <f t="shared" si="12"/>
        <v>175.60000000000002</v>
      </c>
      <c r="W15" s="138">
        <f>SUM(S15:V15)</f>
        <v>828.03000000000009</v>
      </c>
    </row>
    <row r="18" spans="1:26" ht="20.65" x14ac:dyDescent="0.6">
      <c r="A18" s="685" t="s">
        <v>697</v>
      </c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</row>
    <row r="19" spans="1:26" x14ac:dyDescent="0.4">
      <c r="C19" s="512"/>
      <c r="I19" s="513"/>
      <c r="K19" s="686" t="s">
        <v>700</v>
      </c>
      <c r="L19" s="686"/>
      <c r="M19" s="686"/>
      <c r="N19" s="686"/>
      <c r="O19" s="686"/>
      <c r="P19" s="686"/>
      <c r="R19" s="686" t="s">
        <v>701</v>
      </c>
      <c r="S19" s="686"/>
      <c r="T19" s="686"/>
      <c r="U19" s="686"/>
      <c r="V19" s="686"/>
      <c r="W19" s="686"/>
    </row>
    <row r="20" spans="1:26" ht="15.75" x14ac:dyDescent="0.5">
      <c r="A20" s="116" t="s">
        <v>338</v>
      </c>
      <c r="B20" s="142"/>
      <c r="D20" s="684" t="s">
        <v>696</v>
      </c>
      <c r="E20" s="684"/>
      <c r="F20" s="14"/>
      <c r="G20" s="657" t="s">
        <v>702</v>
      </c>
      <c r="H20" s="657"/>
      <c r="I20" s="657"/>
      <c r="J20" s="403"/>
      <c r="L20" s="142">
        <v>30000</v>
      </c>
      <c r="M20" s="142">
        <v>20000</v>
      </c>
      <c r="N20" s="142">
        <v>50000</v>
      </c>
      <c r="O20" s="142">
        <f>SUM(K20:N20)</f>
        <v>100000</v>
      </c>
      <c r="S20" s="142">
        <v>30000</v>
      </c>
      <c r="T20" s="142">
        <v>20000</v>
      </c>
      <c r="U20" s="142">
        <v>50000</v>
      </c>
      <c r="V20" s="142">
        <f>SUM(R20:U20)</f>
        <v>100000</v>
      </c>
    </row>
    <row r="21" spans="1:26" ht="15.75" x14ac:dyDescent="0.5">
      <c r="A21" s="116" t="s">
        <v>51</v>
      </c>
      <c r="B21" s="142">
        <v>30000</v>
      </c>
      <c r="C21" s="116" t="s">
        <v>188</v>
      </c>
      <c r="D21" s="404">
        <f>G4</f>
        <v>266.53000000000003</v>
      </c>
      <c r="E21" s="402" t="s">
        <v>241</v>
      </c>
      <c r="F21" s="29"/>
      <c r="G21" s="404">
        <f>'Table C'!P41</f>
        <v>305.64</v>
      </c>
      <c r="H21" s="402" t="s">
        <v>241</v>
      </c>
      <c r="I21" s="116"/>
      <c r="L21" s="404">
        <f>D21</f>
        <v>266.53000000000003</v>
      </c>
      <c r="M21" s="405">
        <f>D22</f>
        <v>6.1200000000000004E-3</v>
      </c>
      <c r="N21" s="405">
        <f>D23</f>
        <v>5.2700000000000004E-3</v>
      </c>
      <c r="O21" s="405">
        <f>D24</f>
        <v>4.3900000000000007E-3</v>
      </c>
      <c r="S21" s="404">
        <f>G21</f>
        <v>305.64</v>
      </c>
      <c r="T21" s="405">
        <f>G22</f>
        <v>7.0200000000000002E-3</v>
      </c>
      <c r="U21" s="405">
        <f>G23</f>
        <v>6.0400000000000002E-3</v>
      </c>
      <c r="V21" s="405">
        <f>G24</f>
        <v>5.0300000000000006E-3</v>
      </c>
    </row>
    <row r="22" spans="1:26" ht="15.75" x14ac:dyDescent="0.5">
      <c r="A22" s="116" t="s">
        <v>52</v>
      </c>
      <c r="B22" s="142">
        <v>20000</v>
      </c>
      <c r="C22" s="116" t="s">
        <v>188</v>
      </c>
      <c r="D22" s="405">
        <f>G5</f>
        <v>6.1200000000000004E-3</v>
      </c>
      <c r="E22" s="402" t="s">
        <v>240</v>
      </c>
      <c r="F22" s="29"/>
      <c r="G22" s="405">
        <f>'Table C'!P42</f>
        <v>7.0200000000000002E-3</v>
      </c>
      <c r="H22" s="402" t="s">
        <v>240</v>
      </c>
      <c r="I22" s="116"/>
      <c r="K22" s="197">
        <v>60000</v>
      </c>
      <c r="L22" s="197">
        <v>30000</v>
      </c>
      <c r="M22" s="142">
        <v>20000</v>
      </c>
      <c r="N22" s="197">
        <f>K22-L22-M22</f>
        <v>10000</v>
      </c>
      <c r="P22" s="197">
        <f>SUM(L22:O22)</f>
        <v>60000</v>
      </c>
      <c r="R22" s="197">
        <v>60000</v>
      </c>
      <c r="S22" s="197">
        <f t="shared" ref="S22:S26" si="13">L22</f>
        <v>30000</v>
      </c>
      <c r="T22" s="197">
        <f t="shared" ref="T22:T26" si="14">M22</f>
        <v>20000</v>
      </c>
      <c r="U22" s="197">
        <f t="shared" ref="U22:U26" si="15">N22</f>
        <v>10000</v>
      </c>
      <c r="V22" s="197">
        <f t="shared" ref="V22:V26" si="16">O22</f>
        <v>0</v>
      </c>
      <c r="W22" s="197">
        <f>SUM(S22:V22)</f>
        <v>60000</v>
      </c>
    </row>
    <row r="23" spans="1:26" ht="15.75" x14ac:dyDescent="0.5">
      <c r="A23" s="116" t="s">
        <v>52</v>
      </c>
      <c r="B23" s="142">
        <v>50000</v>
      </c>
      <c r="C23" s="116" t="s">
        <v>188</v>
      </c>
      <c r="D23" s="405">
        <f t="shared" ref="D23:D24" si="17">G6</f>
        <v>5.2700000000000004E-3</v>
      </c>
      <c r="E23" s="402" t="s">
        <v>240</v>
      </c>
      <c r="F23" s="29"/>
      <c r="G23" s="405">
        <f>'Table C'!P43</f>
        <v>6.0400000000000002E-3</v>
      </c>
      <c r="H23" s="402" t="s">
        <v>240</v>
      </c>
      <c r="I23" s="116"/>
      <c r="K23" s="197">
        <v>80000</v>
      </c>
      <c r="L23" s="197">
        <v>30000</v>
      </c>
      <c r="M23" s="142">
        <v>20000</v>
      </c>
      <c r="N23" s="197">
        <f>K23-L23-M23</f>
        <v>30000</v>
      </c>
      <c r="P23" s="197">
        <f>SUM(L23:O23)</f>
        <v>80000</v>
      </c>
      <c r="R23" s="197">
        <v>80000</v>
      </c>
      <c r="S23" s="197">
        <f t="shared" si="13"/>
        <v>30000</v>
      </c>
      <c r="T23" s="197">
        <f t="shared" si="14"/>
        <v>20000</v>
      </c>
      <c r="U23" s="197">
        <f t="shared" si="15"/>
        <v>30000</v>
      </c>
      <c r="V23" s="197">
        <f t="shared" si="16"/>
        <v>0</v>
      </c>
      <c r="W23" s="197">
        <f>SUM(S23:V23)</f>
        <v>80000</v>
      </c>
    </row>
    <row r="24" spans="1:26" ht="15.75" x14ac:dyDescent="0.5">
      <c r="A24" s="116" t="s">
        <v>114</v>
      </c>
      <c r="B24" s="142">
        <f>SUM(B20:B23)</f>
        <v>100000</v>
      </c>
      <c r="C24" s="116" t="s">
        <v>188</v>
      </c>
      <c r="D24" s="405">
        <f t="shared" si="17"/>
        <v>4.3900000000000007E-3</v>
      </c>
      <c r="E24" s="402" t="s">
        <v>240</v>
      </c>
      <c r="F24" s="29"/>
      <c r="G24" s="405">
        <f>'Table C'!P44</f>
        <v>5.0300000000000006E-3</v>
      </c>
      <c r="H24" s="402" t="s">
        <v>240</v>
      </c>
      <c r="I24" s="116"/>
      <c r="K24" s="197">
        <v>100000</v>
      </c>
      <c r="L24" s="197">
        <v>30000</v>
      </c>
      <c r="M24" s="142">
        <v>20000</v>
      </c>
      <c r="N24" s="197">
        <f>K24-L24-M24</f>
        <v>50000</v>
      </c>
      <c r="P24" s="197">
        <f>SUM(L24:O24)</f>
        <v>100000</v>
      </c>
      <c r="R24" s="197">
        <v>100000</v>
      </c>
      <c r="S24" s="197">
        <f t="shared" si="13"/>
        <v>30000</v>
      </c>
      <c r="T24" s="197">
        <f t="shared" si="14"/>
        <v>20000</v>
      </c>
      <c r="U24" s="197">
        <f t="shared" si="15"/>
        <v>50000</v>
      </c>
      <c r="V24" s="197">
        <f t="shared" si="16"/>
        <v>0</v>
      </c>
      <c r="W24" s="197">
        <f>SUM(S24:V24)</f>
        <v>100000</v>
      </c>
    </row>
    <row r="25" spans="1:26" x14ac:dyDescent="0.4">
      <c r="G25" s="405"/>
      <c r="K25" s="197">
        <v>120000</v>
      </c>
      <c r="L25" s="197">
        <v>30000</v>
      </c>
      <c r="M25" s="142">
        <v>20000</v>
      </c>
      <c r="N25" s="197">
        <v>50000</v>
      </c>
      <c r="O25" s="197">
        <f>K25-L25-M25-N25</f>
        <v>20000</v>
      </c>
      <c r="P25" s="197">
        <f>SUM(L25:O25)</f>
        <v>120000</v>
      </c>
      <c r="R25" s="197">
        <v>120000</v>
      </c>
      <c r="S25" s="197">
        <f t="shared" si="13"/>
        <v>30000</v>
      </c>
      <c r="T25" s="197">
        <f t="shared" si="14"/>
        <v>20000</v>
      </c>
      <c r="U25" s="197">
        <f t="shared" si="15"/>
        <v>50000</v>
      </c>
      <c r="V25" s="197">
        <f t="shared" si="16"/>
        <v>20000</v>
      </c>
      <c r="W25" s="197">
        <f>SUM(S25:V25)</f>
        <v>120000</v>
      </c>
    </row>
    <row r="26" spans="1:26" x14ac:dyDescent="0.4">
      <c r="E26" s="514"/>
      <c r="F26" s="116"/>
      <c r="K26" s="197">
        <v>140000</v>
      </c>
      <c r="L26" s="197">
        <v>30000</v>
      </c>
      <c r="M26" s="142">
        <v>20000</v>
      </c>
      <c r="N26" s="197">
        <v>50000</v>
      </c>
      <c r="O26" s="197">
        <f>K26-L26-M26-N26</f>
        <v>40000</v>
      </c>
      <c r="P26" s="197">
        <f>SUM(L26:O26)</f>
        <v>140000</v>
      </c>
      <c r="R26" s="197">
        <v>140000</v>
      </c>
      <c r="S26" s="197">
        <f t="shared" si="13"/>
        <v>30000</v>
      </c>
      <c r="T26" s="197">
        <f t="shared" si="14"/>
        <v>20000</v>
      </c>
      <c r="U26" s="197">
        <f t="shared" si="15"/>
        <v>50000</v>
      </c>
      <c r="V26" s="197">
        <f t="shared" si="16"/>
        <v>40000</v>
      </c>
      <c r="W26" s="197">
        <f>SUM(S26:V26)</f>
        <v>140000</v>
      </c>
    </row>
    <row r="27" spans="1:26" x14ac:dyDescent="0.4">
      <c r="E27" s="514"/>
      <c r="F27" s="116"/>
    </row>
    <row r="28" spans="1:26" x14ac:dyDescent="0.4">
      <c r="E28" s="514"/>
      <c r="F28" s="116"/>
      <c r="K28" s="197">
        <v>60000</v>
      </c>
      <c r="L28" s="138">
        <f>L21</f>
        <v>266.53000000000003</v>
      </c>
      <c r="M28" s="138">
        <f>M22*M$21</f>
        <v>122.4</v>
      </c>
      <c r="N28" s="138">
        <f t="shared" ref="N28:O28" si="18">N22*N$21</f>
        <v>52.7</v>
      </c>
      <c r="O28" s="138">
        <f t="shared" si="18"/>
        <v>0</v>
      </c>
      <c r="P28" s="138">
        <f>SUM(L28:O28)</f>
        <v>441.63000000000005</v>
      </c>
      <c r="R28" s="197">
        <v>60000</v>
      </c>
      <c r="S28" s="138">
        <f>S21</f>
        <v>305.64</v>
      </c>
      <c r="T28" s="138">
        <f>T22*T$21</f>
        <v>140.4</v>
      </c>
      <c r="U28" s="138">
        <f t="shared" ref="U28:V28" si="19">U22*U$21</f>
        <v>60.400000000000006</v>
      </c>
      <c r="V28" s="138">
        <f t="shared" si="19"/>
        <v>0</v>
      </c>
      <c r="W28" s="138">
        <f>SUM(S28:V28)</f>
        <v>506.43999999999994</v>
      </c>
    </row>
    <row r="29" spans="1:26" x14ac:dyDescent="0.4">
      <c r="E29" s="514"/>
      <c r="F29" s="116"/>
      <c r="K29" s="197">
        <v>80000</v>
      </c>
      <c r="L29" s="138">
        <f t="shared" ref="L29:L32" si="20">L28</f>
        <v>266.53000000000003</v>
      </c>
      <c r="M29" s="138">
        <f t="shared" ref="M29:O32" si="21">M23*M$21</f>
        <v>122.4</v>
      </c>
      <c r="N29" s="138">
        <f t="shared" si="21"/>
        <v>158.10000000000002</v>
      </c>
      <c r="O29" s="138">
        <f t="shared" si="21"/>
        <v>0</v>
      </c>
      <c r="P29" s="138">
        <f>SUM(L29:O29)</f>
        <v>547.03000000000009</v>
      </c>
      <c r="R29" s="197">
        <v>80000</v>
      </c>
      <c r="S29" s="138">
        <f t="shared" ref="S29:S32" si="22">S28</f>
        <v>305.64</v>
      </c>
      <c r="T29" s="138">
        <f t="shared" ref="T29:V29" si="23">T23*T$21</f>
        <v>140.4</v>
      </c>
      <c r="U29" s="138">
        <f t="shared" si="23"/>
        <v>181.20000000000002</v>
      </c>
      <c r="V29" s="138">
        <f t="shared" si="23"/>
        <v>0</v>
      </c>
      <c r="W29" s="138">
        <f>SUM(S29:V29)</f>
        <v>627.24</v>
      </c>
    </row>
    <row r="30" spans="1:26" x14ac:dyDescent="0.4">
      <c r="E30" s="514"/>
      <c r="F30" s="116"/>
      <c r="K30" s="197">
        <v>100000</v>
      </c>
      <c r="L30" s="138">
        <f t="shared" si="20"/>
        <v>266.53000000000003</v>
      </c>
      <c r="M30" s="138">
        <f t="shared" si="21"/>
        <v>122.4</v>
      </c>
      <c r="N30" s="138">
        <f t="shared" si="21"/>
        <v>263.5</v>
      </c>
      <c r="O30" s="138">
        <f t="shared" si="21"/>
        <v>0</v>
      </c>
      <c r="P30" s="138">
        <f>SUM(L30:O30)</f>
        <v>652.43000000000006</v>
      </c>
      <c r="R30" s="197">
        <v>100000</v>
      </c>
      <c r="S30" s="138">
        <f t="shared" si="22"/>
        <v>305.64</v>
      </c>
      <c r="T30" s="138">
        <f t="shared" ref="T30:V30" si="24">T24*T$21</f>
        <v>140.4</v>
      </c>
      <c r="U30" s="138">
        <f t="shared" si="24"/>
        <v>302</v>
      </c>
      <c r="V30" s="138">
        <f t="shared" si="24"/>
        <v>0</v>
      </c>
      <c r="W30" s="138">
        <f>SUM(S30:V30)</f>
        <v>748.04</v>
      </c>
    </row>
    <row r="31" spans="1:26" x14ac:dyDescent="0.4">
      <c r="E31" s="514"/>
      <c r="F31" s="116"/>
      <c r="K31" s="197">
        <v>120000</v>
      </c>
      <c r="L31" s="138">
        <f t="shared" si="20"/>
        <v>266.53000000000003</v>
      </c>
      <c r="M31" s="138">
        <f t="shared" si="21"/>
        <v>122.4</v>
      </c>
      <c r="N31" s="138">
        <f t="shared" si="21"/>
        <v>263.5</v>
      </c>
      <c r="O31" s="138">
        <f t="shared" si="21"/>
        <v>87.800000000000011</v>
      </c>
      <c r="P31" s="138">
        <f>SUM(L31:O31)</f>
        <v>740.23</v>
      </c>
      <c r="R31" s="197">
        <v>120000</v>
      </c>
      <c r="S31" s="138">
        <f t="shared" si="22"/>
        <v>305.64</v>
      </c>
      <c r="T31" s="138">
        <f t="shared" ref="T31:V31" si="25">T25*T$21</f>
        <v>140.4</v>
      </c>
      <c r="U31" s="138">
        <f t="shared" si="25"/>
        <v>302</v>
      </c>
      <c r="V31" s="138">
        <f t="shared" si="25"/>
        <v>100.60000000000001</v>
      </c>
      <c r="W31" s="138">
        <f>SUM(S31:V31)</f>
        <v>848.64</v>
      </c>
    </row>
    <row r="32" spans="1:26" x14ac:dyDescent="0.4">
      <c r="E32" s="514"/>
      <c r="F32" s="116"/>
      <c r="K32" s="197">
        <v>140000</v>
      </c>
      <c r="L32" s="138">
        <f t="shared" si="20"/>
        <v>266.53000000000003</v>
      </c>
      <c r="M32" s="138">
        <f t="shared" si="21"/>
        <v>122.4</v>
      </c>
      <c r="N32" s="138">
        <f t="shared" si="21"/>
        <v>263.5</v>
      </c>
      <c r="O32" s="138">
        <f t="shared" si="21"/>
        <v>175.60000000000002</v>
      </c>
      <c r="P32" s="138">
        <f>SUM(L32:O32)</f>
        <v>828.03000000000009</v>
      </c>
      <c r="R32" s="197">
        <v>140000</v>
      </c>
      <c r="S32" s="138">
        <f t="shared" si="22"/>
        <v>305.64</v>
      </c>
      <c r="T32" s="138">
        <f t="shared" ref="T32:V32" si="26">T26*T$21</f>
        <v>140.4</v>
      </c>
      <c r="U32" s="138">
        <f t="shared" si="26"/>
        <v>302</v>
      </c>
      <c r="V32" s="138">
        <f t="shared" si="26"/>
        <v>201.20000000000002</v>
      </c>
      <c r="W32" s="138">
        <f>SUM(S32:V32)</f>
        <v>949.24</v>
      </c>
    </row>
    <row r="47" spans="3:10" x14ac:dyDescent="0.4">
      <c r="C47"/>
      <c r="D47"/>
      <c r="E47"/>
      <c r="F47"/>
      <c r="G47"/>
      <c r="H47"/>
      <c r="I47"/>
      <c r="J47"/>
    </row>
    <row r="48" spans="3:10" x14ac:dyDescent="0.4">
      <c r="C48"/>
      <c r="D48"/>
      <c r="E48"/>
      <c r="F48"/>
      <c r="G48"/>
      <c r="H48"/>
      <c r="I48"/>
      <c r="J48"/>
    </row>
    <row r="49" spans="1:23" x14ac:dyDescent="0.4">
      <c r="C49"/>
      <c r="D49"/>
      <c r="E49"/>
      <c r="F49"/>
      <c r="G49"/>
      <c r="H49"/>
      <c r="I49"/>
      <c r="J49"/>
    </row>
    <row r="51" spans="1:23" x14ac:dyDescent="0.4">
      <c r="C51" s="512"/>
      <c r="I51" s="513"/>
      <c r="K51" s="686" t="s">
        <v>660</v>
      </c>
      <c r="L51" s="686"/>
      <c r="M51" s="686"/>
      <c r="N51" s="686"/>
      <c r="O51" s="686"/>
      <c r="P51" s="686"/>
      <c r="R51" s="686" t="s">
        <v>660</v>
      </c>
      <c r="S51" s="686"/>
      <c r="T51" s="686"/>
      <c r="U51" s="686"/>
      <c r="V51" s="686"/>
      <c r="W51" s="686"/>
    </row>
    <row r="52" spans="1:23" ht="15.75" x14ac:dyDescent="0.5">
      <c r="A52" s="116" t="s">
        <v>338</v>
      </c>
      <c r="B52" s="142"/>
      <c r="D52" s="403"/>
      <c r="E52" s="402"/>
      <c r="F52" s="29"/>
      <c r="H52" s="142"/>
      <c r="I52" s="116"/>
      <c r="J52" s="403"/>
      <c r="L52" s="142">
        <v>30000</v>
      </c>
      <c r="M52" s="142">
        <v>20000</v>
      </c>
      <c r="N52" s="142">
        <v>50000</v>
      </c>
      <c r="O52" s="142">
        <f>SUM(K52:N52)</f>
        <v>100000</v>
      </c>
      <c r="S52" s="142">
        <v>30000</v>
      </c>
      <c r="T52" s="142">
        <v>20000</v>
      </c>
      <c r="U52" s="142">
        <v>50000</v>
      </c>
      <c r="V52" s="142">
        <f>SUM(R52:U52)</f>
        <v>100000</v>
      </c>
    </row>
    <row r="53" spans="1:23" ht="15.75" x14ac:dyDescent="0.5">
      <c r="A53" s="116" t="s">
        <v>51</v>
      </c>
      <c r="B53" s="142">
        <v>30000</v>
      </c>
      <c r="C53" s="116" t="s">
        <v>188</v>
      </c>
      <c r="D53" s="404" t="e">
        <f>#REF!</f>
        <v>#REF!</v>
      </c>
      <c r="E53" s="402" t="s">
        <v>241</v>
      </c>
      <c r="F53" s="29"/>
      <c r="G53" s="404" t="e">
        <f>#REF!</f>
        <v>#REF!</v>
      </c>
      <c r="H53" s="402" t="s">
        <v>241</v>
      </c>
      <c r="I53" s="116"/>
      <c r="L53" s="404" t="e">
        <f>D53</f>
        <v>#REF!</v>
      </c>
      <c r="M53" s="405" t="e">
        <f>D54</f>
        <v>#REF!</v>
      </c>
      <c r="N53" s="405" t="e">
        <f>D55</f>
        <v>#REF!</v>
      </c>
      <c r="O53" s="405" t="e">
        <f>D56</f>
        <v>#REF!</v>
      </c>
      <c r="S53" s="404" t="e">
        <f>G53</f>
        <v>#REF!</v>
      </c>
      <c r="T53" s="405" t="e">
        <f>G54</f>
        <v>#REF!</v>
      </c>
      <c r="U53" s="405" t="e">
        <f>G55</f>
        <v>#REF!</v>
      </c>
      <c r="V53" s="405" t="e">
        <f>G56</f>
        <v>#REF!</v>
      </c>
    </row>
    <row r="54" spans="1:23" ht="15.75" x14ac:dyDescent="0.5">
      <c r="A54" s="116" t="s">
        <v>52</v>
      </c>
      <c r="B54" s="142">
        <v>20000</v>
      </c>
      <c r="C54" s="116" t="s">
        <v>188</v>
      </c>
      <c r="D54" s="405" t="e">
        <f>#REF!</f>
        <v>#REF!</v>
      </c>
      <c r="E54" s="402" t="s">
        <v>240</v>
      </c>
      <c r="F54" s="29"/>
      <c r="G54" s="405" t="e">
        <f>#REF!</f>
        <v>#REF!</v>
      </c>
      <c r="H54" s="402" t="s">
        <v>240</v>
      </c>
      <c r="I54" s="116"/>
      <c r="K54" s="197">
        <v>60000</v>
      </c>
      <c r="L54" s="197">
        <v>30000</v>
      </c>
      <c r="M54" s="142">
        <v>20000</v>
      </c>
      <c r="N54" s="197">
        <f>K54-L54-M54</f>
        <v>10000</v>
      </c>
      <c r="P54" s="197">
        <f>SUM(L54:O54)</f>
        <v>60000</v>
      </c>
      <c r="R54" s="197">
        <v>60000</v>
      </c>
      <c r="S54" s="197">
        <f t="shared" ref="S54:V58" si="27">L54</f>
        <v>30000</v>
      </c>
      <c r="T54" s="197">
        <f t="shared" si="27"/>
        <v>20000</v>
      </c>
      <c r="U54" s="197">
        <f t="shared" si="27"/>
        <v>10000</v>
      </c>
      <c r="V54" s="197">
        <f t="shared" si="27"/>
        <v>0</v>
      </c>
      <c r="W54" s="197">
        <f>SUM(S54:V54)</f>
        <v>60000</v>
      </c>
    </row>
    <row r="55" spans="1:23" ht="15.75" x14ac:dyDescent="0.5">
      <c r="A55" s="116" t="s">
        <v>52</v>
      </c>
      <c r="B55" s="142">
        <v>50000</v>
      </c>
      <c r="C55" s="116" t="s">
        <v>188</v>
      </c>
      <c r="D55" s="405" t="e">
        <f>#REF!</f>
        <v>#REF!</v>
      </c>
      <c r="E55" s="402" t="s">
        <v>240</v>
      </c>
      <c r="F55" s="29"/>
      <c r="G55" s="405" t="e">
        <f>#REF!</f>
        <v>#REF!</v>
      </c>
      <c r="H55" s="402" t="s">
        <v>240</v>
      </c>
      <c r="I55" s="116"/>
      <c r="K55" s="197">
        <v>80000</v>
      </c>
      <c r="L55" s="197">
        <v>30000</v>
      </c>
      <c r="M55" s="142">
        <v>20000</v>
      </c>
      <c r="N55" s="197">
        <f>K55-L55-M55</f>
        <v>30000</v>
      </c>
      <c r="P55" s="197">
        <f>SUM(L55:O55)</f>
        <v>80000</v>
      </c>
      <c r="R55" s="197">
        <v>80000</v>
      </c>
      <c r="S55" s="197">
        <f t="shared" si="27"/>
        <v>30000</v>
      </c>
      <c r="T55" s="197">
        <f t="shared" si="27"/>
        <v>20000</v>
      </c>
      <c r="U55" s="197">
        <f t="shared" si="27"/>
        <v>30000</v>
      </c>
      <c r="V55" s="197">
        <f t="shared" si="27"/>
        <v>0</v>
      </c>
      <c r="W55" s="197">
        <f>SUM(S55:V55)</f>
        <v>80000</v>
      </c>
    </row>
    <row r="56" spans="1:23" ht="15.75" x14ac:dyDescent="0.5">
      <c r="A56" s="116" t="s">
        <v>114</v>
      </c>
      <c r="B56" s="142">
        <f>SUM(B52:B55)</f>
        <v>100000</v>
      </c>
      <c r="C56" s="116" t="s">
        <v>188</v>
      </c>
      <c r="D56" s="405" t="e">
        <f>#REF!</f>
        <v>#REF!</v>
      </c>
      <c r="E56" s="402" t="s">
        <v>240</v>
      </c>
      <c r="F56" s="29"/>
      <c r="G56" s="405" t="e">
        <f>#REF!</f>
        <v>#REF!</v>
      </c>
      <c r="H56" s="402" t="s">
        <v>240</v>
      </c>
      <c r="I56" s="116"/>
      <c r="K56" s="197">
        <v>100000</v>
      </c>
      <c r="L56" s="197">
        <v>30000</v>
      </c>
      <c r="M56" s="142">
        <v>20000</v>
      </c>
      <c r="N56" s="197">
        <f>K56-L56-M56</f>
        <v>50000</v>
      </c>
      <c r="P56" s="197">
        <f>SUM(L56:O56)</f>
        <v>100000</v>
      </c>
      <c r="R56" s="197">
        <v>100000</v>
      </c>
      <c r="S56" s="197">
        <f t="shared" si="27"/>
        <v>30000</v>
      </c>
      <c r="T56" s="197">
        <f t="shared" si="27"/>
        <v>20000</v>
      </c>
      <c r="U56" s="197">
        <f t="shared" si="27"/>
        <v>50000</v>
      </c>
      <c r="V56" s="197">
        <f t="shared" si="27"/>
        <v>0</v>
      </c>
      <c r="W56" s="197">
        <f>SUM(S56:V56)</f>
        <v>100000</v>
      </c>
    </row>
    <row r="57" spans="1:23" x14ac:dyDescent="0.4">
      <c r="G57" s="405"/>
      <c r="K57" s="197">
        <v>120000</v>
      </c>
      <c r="L57" s="197">
        <v>30000</v>
      </c>
      <c r="M57" s="142">
        <v>20000</v>
      </c>
      <c r="N57" s="197">
        <v>50000</v>
      </c>
      <c r="O57" s="197">
        <f>K57-L57-M57-N57</f>
        <v>20000</v>
      </c>
      <c r="P57" s="197">
        <f>SUM(L57:O57)</f>
        <v>120000</v>
      </c>
      <c r="R57" s="197">
        <v>120000</v>
      </c>
      <c r="S57" s="197">
        <f t="shared" si="27"/>
        <v>30000</v>
      </c>
      <c r="T57" s="197">
        <f t="shared" si="27"/>
        <v>20000</v>
      </c>
      <c r="U57" s="197">
        <f t="shared" si="27"/>
        <v>50000</v>
      </c>
      <c r="V57" s="197">
        <f t="shared" si="27"/>
        <v>20000</v>
      </c>
      <c r="W57" s="197">
        <f>SUM(S57:V57)</f>
        <v>120000</v>
      </c>
    </row>
    <row r="58" spans="1:23" x14ac:dyDescent="0.4">
      <c r="E58" s="514"/>
      <c r="F58" s="116"/>
      <c r="K58" s="197">
        <v>140000</v>
      </c>
      <c r="L58" s="197">
        <v>30000</v>
      </c>
      <c r="M58" s="142">
        <v>20000</v>
      </c>
      <c r="N58" s="197">
        <v>50000</v>
      </c>
      <c r="O58" s="197">
        <f>K58-L58-M58-N58</f>
        <v>40000</v>
      </c>
      <c r="P58" s="197">
        <f>SUM(L58:O58)</f>
        <v>140000</v>
      </c>
      <c r="R58" s="197">
        <v>140000</v>
      </c>
      <c r="S58" s="197">
        <f t="shared" si="27"/>
        <v>30000</v>
      </c>
      <c r="T58" s="197">
        <f t="shared" si="27"/>
        <v>20000</v>
      </c>
      <c r="U58" s="197">
        <f t="shared" si="27"/>
        <v>50000</v>
      </c>
      <c r="V58" s="197">
        <f t="shared" si="27"/>
        <v>40000</v>
      </c>
      <c r="W58" s="197">
        <f>SUM(S58:V58)</f>
        <v>140000</v>
      </c>
    </row>
    <row r="59" spans="1:23" x14ac:dyDescent="0.4">
      <c r="E59" s="514"/>
      <c r="F59" s="116"/>
    </row>
    <row r="60" spans="1:23" x14ac:dyDescent="0.4">
      <c r="E60" s="514"/>
      <c r="F60" s="116"/>
      <c r="K60" s="197">
        <v>60000</v>
      </c>
      <c r="L60" s="138" t="e">
        <f>L53</f>
        <v>#REF!</v>
      </c>
      <c r="M60" s="138" t="e">
        <f t="shared" ref="M60:N64" si="28">M54*M$53</f>
        <v>#REF!</v>
      </c>
      <c r="N60" s="138" t="e">
        <f t="shared" si="28"/>
        <v>#REF!</v>
      </c>
      <c r="O60" s="138"/>
      <c r="P60" s="138" t="e">
        <f>SUM(L60:O60)</f>
        <v>#REF!</v>
      </c>
      <c r="R60" s="197">
        <v>60000</v>
      </c>
      <c r="S60" s="138" t="e">
        <f>S53</f>
        <v>#REF!</v>
      </c>
      <c r="T60" s="138" t="e">
        <f t="shared" ref="T60:U64" si="29">T54*T$53</f>
        <v>#REF!</v>
      </c>
      <c r="U60" s="138" t="e">
        <f t="shared" si="29"/>
        <v>#REF!</v>
      </c>
      <c r="V60" s="138"/>
      <c r="W60" s="138" t="e">
        <f>SUM(S60:V60)</f>
        <v>#REF!</v>
      </c>
    </row>
    <row r="61" spans="1:23" x14ac:dyDescent="0.4">
      <c r="E61" s="514"/>
      <c r="F61" s="116"/>
      <c r="K61" s="197">
        <v>80000</v>
      </c>
      <c r="L61" s="138" t="e">
        <f t="shared" ref="L61:L64" si="30">L60</f>
        <v>#REF!</v>
      </c>
      <c r="M61" s="138" t="e">
        <f t="shared" si="28"/>
        <v>#REF!</v>
      </c>
      <c r="N61" s="138" t="e">
        <f t="shared" si="28"/>
        <v>#REF!</v>
      </c>
      <c r="O61" s="138"/>
      <c r="P61" s="138" t="e">
        <f>SUM(L61:O61)</f>
        <v>#REF!</v>
      </c>
      <c r="R61" s="197">
        <v>80000</v>
      </c>
      <c r="S61" s="138" t="e">
        <f t="shared" ref="S61:S64" si="31">S60</f>
        <v>#REF!</v>
      </c>
      <c r="T61" s="138" t="e">
        <f t="shared" si="29"/>
        <v>#REF!</v>
      </c>
      <c r="U61" s="138" t="e">
        <f t="shared" si="29"/>
        <v>#REF!</v>
      </c>
      <c r="V61" s="138"/>
      <c r="W61" s="138" t="e">
        <f>SUM(S61:V61)</f>
        <v>#REF!</v>
      </c>
    </row>
    <row r="62" spans="1:23" x14ac:dyDescent="0.4">
      <c r="E62" s="514"/>
      <c r="F62" s="116"/>
      <c r="K62" s="197">
        <v>100000</v>
      </c>
      <c r="L62" s="138" t="e">
        <f t="shared" si="30"/>
        <v>#REF!</v>
      </c>
      <c r="M62" s="138" t="e">
        <f t="shared" si="28"/>
        <v>#REF!</v>
      </c>
      <c r="N62" s="138" t="e">
        <f t="shared" si="28"/>
        <v>#REF!</v>
      </c>
      <c r="O62" s="138"/>
      <c r="P62" s="138" t="e">
        <f>SUM(L62:O62)</f>
        <v>#REF!</v>
      </c>
      <c r="R62" s="197">
        <v>100000</v>
      </c>
      <c r="S62" s="138" t="e">
        <f t="shared" si="31"/>
        <v>#REF!</v>
      </c>
      <c r="T62" s="138" t="e">
        <f t="shared" si="29"/>
        <v>#REF!</v>
      </c>
      <c r="U62" s="138" t="e">
        <f t="shared" si="29"/>
        <v>#REF!</v>
      </c>
      <c r="V62" s="138"/>
      <c r="W62" s="138" t="e">
        <f>SUM(S62:V62)</f>
        <v>#REF!</v>
      </c>
    </row>
    <row r="63" spans="1:23" x14ac:dyDescent="0.4">
      <c r="E63" s="514"/>
      <c r="F63" s="116"/>
      <c r="K63" s="197">
        <v>120000</v>
      </c>
      <c r="L63" s="138" t="e">
        <f t="shared" si="30"/>
        <v>#REF!</v>
      </c>
      <c r="M63" s="138" t="e">
        <f t="shared" si="28"/>
        <v>#REF!</v>
      </c>
      <c r="N63" s="138" t="e">
        <f t="shared" si="28"/>
        <v>#REF!</v>
      </c>
      <c r="O63" s="138" t="e">
        <f>O57*O$53</f>
        <v>#REF!</v>
      </c>
      <c r="P63" s="138" t="e">
        <f>SUM(L63:O63)</f>
        <v>#REF!</v>
      </c>
      <c r="R63" s="197">
        <v>120000</v>
      </c>
      <c r="S63" s="138" t="e">
        <f t="shared" si="31"/>
        <v>#REF!</v>
      </c>
      <c r="T63" s="138" t="e">
        <f t="shared" si="29"/>
        <v>#REF!</v>
      </c>
      <c r="U63" s="138" t="e">
        <f t="shared" si="29"/>
        <v>#REF!</v>
      </c>
      <c r="V63" s="138" t="e">
        <f>V57*V$53</f>
        <v>#REF!</v>
      </c>
      <c r="W63" s="138" t="e">
        <f>SUM(S63:V63)</f>
        <v>#REF!</v>
      </c>
    </row>
    <row r="64" spans="1:23" x14ac:dyDescent="0.4">
      <c r="E64" s="514"/>
      <c r="F64" s="116"/>
      <c r="K64" s="197">
        <v>140000</v>
      </c>
      <c r="L64" s="138" t="e">
        <f t="shared" si="30"/>
        <v>#REF!</v>
      </c>
      <c r="M64" s="138" t="e">
        <f t="shared" si="28"/>
        <v>#REF!</v>
      </c>
      <c r="N64" s="138" t="e">
        <f t="shared" si="28"/>
        <v>#REF!</v>
      </c>
      <c r="O64" s="138" t="e">
        <f>O58*O$53</f>
        <v>#REF!</v>
      </c>
      <c r="P64" s="138" t="e">
        <f>SUM(L64:O64)</f>
        <v>#REF!</v>
      </c>
      <c r="R64" s="197">
        <v>140000</v>
      </c>
      <c r="S64" s="138" t="e">
        <f t="shared" si="31"/>
        <v>#REF!</v>
      </c>
      <c r="T64" s="138" t="e">
        <f t="shared" si="29"/>
        <v>#REF!</v>
      </c>
      <c r="U64" s="138" t="e">
        <f t="shared" si="29"/>
        <v>#REF!</v>
      </c>
      <c r="V64" s="138" t="e">
        <f>V58*V$53</f>
        <v>#REF!</v>
      </c>
      <c r="W64" s="138" t="e">
        <f>SUM(S64:V64)</f>
        <v>#REF!</v>
      </c>
    </row>
    <row r="65" spans="5:6" x14ac:dyDescent="0.4">
      <c r="E65" s="514"/>
      <c r="F65" s="116"/>
    </row>
    <row r="66" spans="5:6" x14ac:dyDescent="0.4">
      <c r="E66" s="514"/>
      <c r="F66" s="116"/>
    </row>
  </sheetData>
  <mergeCells count="12">
    <mergeCell ref="K51:P51"/>
    <mergeCell ref="R51:W51"/>
    <mergeCell ref="K2:P2"/>
    <mergeCell ref="R2:W2"/>
    <mergeCell ref="A1:Z1"/>
    <mergeCell ref="A18:Z18"/>
    <mergeCell ref="K19:P19"/>
    <mergeCell ref="R19:W19"/>
    <mergeCell ref="D3:E3"/>
    <mergeCell ref="G3:I3"/>
    <mergeCell ref="D20:E20"/>
    <mergeCell ref="G20:I2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B8D1-B651-456E-95B2-E9E39D19F8FC}">
  <dimension ref="A2:Z65"/>
  <sheetViews>
    <sheetView topLeftCell="I9" workbookViewId="0">
      <selection activeCell="O30" sqref="O30:O34"/>
    </sheetView>
  </sheetViews>
  <sheetFormatPr defaultRowHeight="15" x14ac:dyDescent="0.4"/>
  <cols>
    <col min="3" max="3" width="9.44140625" style="116" customWidth="1"/>
    <col min="4" max="5" width="10.77734375" style="116" customWidth="1"/>
    <col min="6" max="6" width="1.77734375" style="399" customWidth="1"/>
    <col min="7" max="7" width="10.77734375" style="116" customWidth="1"/>
    <col min="8" max="8" width="1.21875" style="116" customWidth="1"/>
    <col min="9" max="9" width="10.77734375" style="399" customWidth="1"/>
    <col min="10" max="10" width="10.77734375" style="116" customWidth="1"/>
    <col min="11" max="11" width="11.44140625" style="197" bestFit="1" customWidth="1"/>
    <col min="12" max="13" width="10.44140625" style="197" bestFit="1" customWidth="1"/>
    <col min="14" max="14" width="11.44140625" style="197" bestFit="1" customWidth="1"/>
    <col min="17" max="17" width="11.44140625" style="197" bestFit="1" customWidth="1"/>
    <col min="18" max="19" width="10.44140625" style="197" bestFit="1" customWidth="1"/>
    <col min="20" max="20" width="11.44140625" style="197" bestFit="1" customWidth="1"/>
  </cols>
  <sheetData>
    <row r="2" spans="1:26" ht="20.65" x14ac:dyDescent="0.6">
      <c r="A2" s="685" t="s">
        <v>689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</row>
    <row r="3" spans="1:26" x14ac:dyDescent="0.4">
      <c r="C3" s="512"/>
      <c r="I3" s="513"/>
      <c r="K3" s="686" t="s">
        <v>660</v>
      </c>
      <c r="L3" s="686"/>
      <c r="M3" s="686"/>
      <c r="N3" s="686"/>
      <c r="O3" s="686"/>
      <c r="P3" s="686"/>
      <c r="Q3"/>
      <c r="R3" s="686" t="s">
        <v>700</v>
      </c>
      <c r="S3" s="686"/>
      <c r="T3" s="686"/>
      <c r="U3" s="686"/>
      <c r="V3" s="686"/>
      <c r="W3" s="686"/>
    </row>
    <row r="4" spans="1:26" ht="15.75" x14ac:dyDescent="0.5">
      <c r="A4" s="116" t="s">
        <v>339</v>
      </c>
      <c r="B4" s="142"/>
      <c r="D4" s="684" t="s">
        <v>660</v>
      </c>
      <c r="E4" s="684"/>
      <c r="F4" s="14"/>
      <c r="G4" s="657" t="s">
        <v>696</v>
      </c>
      <c r="H4" s="657"/>
      <c r="I4" s="657"/>
      <c r="J4" s="403"/>
      <c r="L4" s="142">
        <v>60000</v>
      </c>
      <c r="M4" s="142">
        <v>40000</v>
      </c>
      <c r="N4" s="142">
        <f>SUM(K4:M4)</f>
        <v>100000</v>
      </c>
      <c r="R4" s="142">
        <v>60000</v>
      </c>
      <c r="S4" s="142">
        <v>40000</v>
      </c>
      <c r="T4" s="142">
        <f>SUM(Q4:S4)</f>
        <v>100000</v>
      </c>
    </row>
    <row r="5" spans="1:26" ht="15.75" x14ac:dyDescent="0.5">
      <c r="A5" s="116" t="s">
        <v>51</v>
      </c>
      <c r="B5" s="142">
        <v>60000</v>
      </c>
      <c r="C5" s="116" t="s">
        <v>188</v>
      </c>
      <c r="D5" s="404">
        <f>'Table C'!F56</f>
        <v>504.71</v>
      </c>
      <c r="E5" s="402" t="s">
        <v>241</v>
      </c>
      <c r="F5" s="29"/>
      <c r="G5" s="404">
        <f>'Table C'!I56</f>
        <v>590.5</v>
      </c>
      <c r="H5" s="402" t="s">
        <v>241</v>
      </c>
      <c r="I5" s="116"/>
      <c r="L5" s="404">
        <f>D5</f>
        <v>504.71</v>
      </c>
      <c r="M5" s="405">
        <f>D6</f>
        <v>4.5100000000000001E-3</v>
      </c>
      <c r="N5" s="405">
        <f>D7</f>
        <v>3.7599999999999999E-3</v>
      </c>
      <c r="R5" s="404">
        <f>G5</f>
        <v>590.5</v>
      </c>
      <c r="S5" s="405">
        <f>G6</f>
        <v>5.2700000000000004E-3</v>
      </c>
      <c r="T5" s="405">
        <f>G7</f>
        <v>4.3900000000000007E-3</v>
      </c>
    </row>
    <row r="6" spans="1:26" ht="15.75" x14ac:dyDescent="0.5">
      <c r="A6" s="116" t="s">
        <v>52</v>
      </c>
      <c r="B6" s="142">
        <v>40000</v>
      </c>
      <c r="C6" s="116" t="s">
        <v>188</v>
      </c>
      <c r="D6" s="405">
        <f>'Table C'!F57</f>
        <v>4.5100000000000001E-3</v>
      </c>
      <c r="E6" s="402" t="s">
        <v>240</v>
      </c>
      <c r="F6" s="29"/>
      <c r="G6" s="405">
        <f>'Table C'!I57</f>
        <v>5.2700000000000004E-3</v>
      </c>
      <c r="H6" s="402" t="s">
        <v>240</v>
      </c>
      <c r="I6" s="116"/>
      <c r="K6" s="197">
        <v>120000</v>
      </c>
      <c r="L6" s="197">
        <v>60000</v>
      </c>
      <c r="M6" s="142">
        <v>40000</v>
      </c>
      <c r="N6" s="197">
        <f>K6-L6-M6</f>
        <v>20000</v>
      </c>
      <c r="O6" s="197">
        <f>SUM(L6:N6)</f>
        <v>120000</v>
      </c>
      <c r="Q6" s="197">
        <v>120000</v>
      </c>
      <c r="R6" s="197">
        <f t="shared" ref="R6:R10" si="0">L6</f>
        <v>60000</v>
      </c>
      <c r="S6" s="197">
        <f t="shared" ref="S6:S10" si="1">M6</f>
        <v>40000</v>
      </c>
      <c r="T6" s="197">
        <f t="shared" ref="T6:T10" si="2">N6</f>
        <v>20000</v>
      </c>
      <c r="U6" s="197">
        <f>SUM(R6:T6)</f>
        <v>120000</v>
      </c>
    </row>
    <row r="7" spans="1:26" ht="15.75" x14ac:dyDescent="0.5">
      <c r="A7" s="116" t="s">
        <v>114</v>
      </c>
      <c r="B7" s="142">
        <f>SUM(B4:B6)</f>
        <v>100000</v>
      </c>
      <c r="C7" s="116" t="s">
        <v>188</v>
      </c>
      <c r="D7" s="405">
        <f>'Table C'!F58</f>
        <v>3.7599999999999999E-3</v>
      </c>
      <c r="E7" s="402" t="s">
        <v>240</v>
      </c>
      <c r="F7" s="29"/>
      <c r="G7" s="405">
        <f>'Table C'!I58</f>
        <v>4.3900000000000007E-3</v>
      </c>
      <c r="H7" s="402" t="s">
        <v>240</v>
      </c>
      <c r="I7" s="116"/>
      <c r="K7" s="197">
        <v>140000</v>
      </c>
      <c r="L7" s="197">
        <v>60000</v>
      </c>
      <c r="M7" s="142">
        <v>40000</v>
      </c>
      <c r="N7" s="197">
        <f t="shared" ref="N7:N10" si="3">K7-L7-M7</f>
        <v>40000</v>
      </c>
      <c r="O7" s="197">
        <f>SUM(L7:N7)</f>
        <v>140000</v>
      </c>
      <c r="Q7" s="197">
        <v>140000</v>
      </c>
      <c r="R7" s="197">
        <f t="shared" si="0"/>
        <v>60000</v>
      </c>
      <c r="S7" s="197">
        <f t="shared" si="1"/>
        <v>40000</v>
      </c>
      <c r="T7" s="197">
        <f t="shared" si="2"/>
        <v>40000</v>
      </c>
      <c r="U7" s="197">
        <f>SUM(R7:T7)</f>
        <v>140000</v>
      </c>
    </row>
    <row r="8" spans="1:26" x14ac:dyDescent="0.4">
      <c r="K8" s="197">
        <v>160000</v>
      </c>
      <c r="L8" s="197">
        <v>60000</v>
      </c>
      <c r="M8" s="142">
        <v>40000</v>
      </c>
      <c r="N8" s="197">
        <f t="shared" si="3"/>
        <v>60000</v>
      </c>
      <c r="O8" s="197">
        <f>SUM(L8:N8)</f>
        <v>160000</v>
      </c>
      <c r="Q8" s="197">
        <v>160000</v>
      </c>
      <c r="R8" s="197">
        <f t="shared" si="0"/>
        <v>60000</v>
      </c>
      <c r="S8" s="197">
        <f t="shared" si="1"/>
        <v>40000</v>
      </c>
      <c r="T8" s="197">
        <f t="shared" si="2"/>
        <v>60000</v>
      </c>
      <c r="U8" s="197">
        <f>SUM(R8:T8)</f>
        <v>160000</v>
      </c>
    </row>
    <row r="9" spans="1:26" x14ac:dyDescent="0.4">
      <c r="G9" s="405"/>
      <c r="K9" s="197">
        <v>180000</v>
      </c>
      <c r="L9" s="197">
        <v>60000</v>
      </c>
      <c r="M9" s="142">
        <v>40000</v>
      </c>
      <c r="N9" s="197">
        <f t="shared" si="3"/>
        <v>80000</v>
      </c>
      <c r="O9" s="197">
        <f>SUM(L9:N9)</f>
        <v>180000</v>
      </c>
      <c r="Q9" s="197">
        <v>180000</v>
      </c>
      <c r="R9" s="197">
        <f t="shared" si="0"/>
        <v>60000</v>
      </c>
      <c r="S9" s="197">
        <f t="shared" si="1"/>
        <v>40000</v>
      </c>
      <c r="T9" s="197">
        <f t="shared" si="2"/>
        <v>80000</v>
      </c>
      <c r="U9" s="197">
        <f>SUM(R9:T9)</f>
        <v>180000</v>
      </c>
    </row>
    <row r="10" spans="1:26" x14ac:dyDescent="0.4">
      <c r="E10" s="514"/>
      <c r="F10" s="116"/>
      <c r="K10" s="197">
        <v>200000</v>
      </c>
      <c r="L10" s="197">
        <v>60000</v>
      </c>
      <c r="M10" s="142">
        <v>40000</v>
      </c>
      <c r="N10" s="197">
        <f t="shared" si="3"/>
        <v>100000</v>
      </c>
      <c r="O10" s="197">
        <f>SUM(L10:N10)</f>
        <v>200000</v>
      </c>
      <c r="Q10" s="197">
        <v>200000</v>
      </c>
      <c r="R10" s="197">
        <f t="shared" si="0"/>
        <v>60000</v>
      </c>
      <c r="S10" s="197">
        <f t="shared" si="1"/>
        <v>40000</v>
      </c>
      <c r="T10" s="197">
        <f t="shared" si="2"/>
        <v>100000</v>
      </c>
      <c r="U10" s="197">
        <f>SUM(R10:T10)</f>
        <v>200000</v>
      </c>
    </row>
    <row r="11" spans="1:26" x14ac:dyDescent="0.4">
      <c r="E11" s="514"/>
      <c r="F11" s="116"/>
    </row>
    <row r="12" spans="1:26" x14ac:dyDescent="0.4">
      <c r="E12" s="514"/>
      <c r="F12" s="116"/>
      <c r="K12" s="197">
        <v>120000</v>
      </c>
      <c r="L12" s="138">
        <f>L5</f>
        <v>504.71</v>
      </c>
      <c r="M12" s="138">
        <f>M6*M$5</f>
        <v>180.4</v>
      </c>
      <c r="N12" s="138">
        <f>N6*N$5</f>
        <v>75.2</v>
      </c>
      <c r="O12" s="138">
        <f>SUM(L12:N12)</f>
        <v>760.31000000000006</v>
      </c>
      <c r="Q12" s="197">
        <v>120000</v>
      </c>
      <c r="R12" s="138">
        <f>R5</f>
        <v>590.5</v>
      </c>
      <c r="S12" s="138">
        <f>S6*S$5</f>
        <v>210.8</v>
      </c>
      <c r="T12" s="138">
        <f>T6*T$5</f>
        <v>87.800000000000011</v>
      </c>
      <c r="U12" s="138">
        <f>SUM(R12:T12)</f>
        <v>889.09999999999991</v>
      </c>
    </row>
    <row r="13" spans="1:26" x14ac:dyDescent="0.4">
      <c r="E13" s="514"/>
      <c r="F13" s="116"/>
      <c r="K13" s="197">
        <v>140000</v>
      </c>
      <c r="L13" s="138">
        <f t="shared" ref="L13:L16" si="4">L12</f>
        <v>504.71</v>
      </c>
      <c r="M13" s="138">
        <f t="shared" ref="M13:N16" si="5">M7*M$5</f>
        <v>180.4</v>
      </c>
      <c r="N13" s="138">
        <f t="shared" si="5"/>
        <v>150.4</v>
      </c>
      <c r="O13" s="138">
        <f>SUM(L13:N13)</f>
        <v>835.51</v>
      </c>
      <c r="Q13" s="197">
        <v>140000</v>
      </c>
      <c r="R13" s="138">
        <f t="shared" ref="R13:R16" si="6">R12</f>
        <v>590.5</v>
      </c>
      <c r="S13" s="138">
        <f t="shared" ref="S13:T13" si="7">S7*S$5</f>
        <v>210.8</v>
      </c>
      <c r="T13" s="138">
        <f t="shared" si="7"/>
        <v>175.60000000000002</v>
      </c>
      <c r="U13" s="138">
        <f>SUM(R13:T13)</f>
        <v>976.9</v>
      </c>
    </row>
    <row r="14" spans="1:26" x14ac:dyDescent="0.4">
      <c r="E14" s="514"/>
      <c r="F14" s="116"/>
      <c r="K14" s="197">
        <v>160000</v>
      </c>
      <c r="L14" s="138">
        <f t="shared" si="4"/>
        <v>504.71</v>
      </c>
      <c r="M14" s="138">
        <f t="shared" si="5"/>
        <v>180.4</v>
      </c>
      <c r="N14" s="138">
        <f t="shared" si="5"/>
        <v>225.6</v>
      </c>
      <c r="O14" s="138">
        <f>SUM(L14:N14)</f>
        <v>910.71</v>
      </c>
      <c r="Q14" s="197">
        <v>160000</v>
      </c>
      <c r="R14" s="138">
        <f t="shared" si="6"/>
        <v>590.5</v>
      </c>
      <c r="S14" s="138">
        <f t="shared" ref="S14:T14" si="8">S8*S$5</f>
        <v>210.8</v>
      </c>
      <c r="T14" s="138">
        <f t="shared" si="8"/>
        <v>263.40000000000003</v>
      </c>
      <c r="U14" s="138">
        <f>SUM(R14:T14)</f>
        <v>1064.7</v>
      </c>
    </row>
    <row r="15" spans="1:26" x14ac:dyDescent="0.4">
      <c r="E15" s="514"/>
      <c r="F15" s="116"/>
      <c r="K15" s="197">
        <v>180000</v>
      </c>
      <c r="L15" s="138">
        <f t="shared" si="4"/>
        <v>504.71</v>
      </c>
      <c r="M15" s="138">
        <f t="shared" si="5"/>
        <v>180.4</v>
      </c>
      <c r="N15" s="138">
        <f t="shared" si="5"/>
        <v>300.8</v>
      </c>
      <c r="O15" s="138">
        <f>SUM(L15:N15)</f>
        <v>985.91000000000008</v>
      </c>
      <c r="Q15" s="197">
        <v>180000</v>
      </c>
      <c r="R15" s="138">
        <f t="shared" si="6"/>
        <v>590.5</v>
      </c>
      <c r="S15" s="138">
        <f t="shared" ref="S15:T15" si="9">S9*S$5</f>
        <v>210.8</v>
      </c>
      <c r="T15" s="138">
        <f t="shared" si="9"/>
        <v>351.20000000000005</v>
      </c>
      <c r="U15" s="138">
        <f>SUM(R15:T15)</f>
        <v>1152.5</v>
      </c>
    </row>
    <row r="16" spans="1:26" x14ac:dyDescent="0.4">
      <c r="E16" s="514"/>
      <c r="F16" s="116"/>
      <c r="K16" s="197">
        <v>200000</v>
      </c>
      <c r="L16" s="138">
        <f t="shared" si="4"/>
        <v>504.71</v>
      </c>
      <c r="M16" s="138">
        <f t="shared" si="5"/>
        <v>180.4</v>
      </c>
      <c r="N16" s="138">
        <f t="shared" si="5"/>
        <v>376</v>
      </c>
      <c r="O16" s="138">
        <f>SUM(L16:N16)</f>
        <v>1061.1100000000001</v>
      </c>
      <c r="Q16" s="197">
        <v>200000</v>
      </c>
      <c r="R16" s="138">
        <f t="shared" si="6"/>
        <v>590.5</v>
      </c>
      <c r="S16" s="138">
        <f t="shared" ref="S16:T16" si="10">S10*S$5</f>
        <v>210.8</v>
      </c>
      <c r="T16" s="138">
        <f t="shared" si="10"/>
        <v>439.00000000000006</v>
      </c>
      <c r="U16" s="138">
        <f>SUM(R16:T16)</f>
        <v>1240.3</v>
      </c>
    </row>
    <row r="20" spans="1:26" ht="20.65" x14ac:dyDescent="0.6">
      <c r="A20" s="685" t="s">
        <v>697</v>
      </c>
      <c r="B20" s="685"/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</row>
    <row r="21" spans="1:26" x14ac:dyDescent="0.4">
      <c r="C21" s="512"/>
      <c r="I21" s="513"/>
      <c r="K21" s="686" t="s">
        <v>700</v>
      </c>
      <c r="L21" s="686"/>
      <c r="M21" s="686"/>
      <c r="N21" s="686"/>
      <c r="O21" s="686"/>
      <c r="P21" s="686"/>
      <c r="Q21"/>
      <c r="R21" s="686" t="s">
        <v>701</v>
      </c>
      <c r="S21" s="686"/>
      <c r="T21" s="686"/>
      <c r="U21" s="686"/>
      <c r="V21" s="686"/>
      <c r="W21" s="686"/>
    </row>
    <row r="22" spans="1:26" ht="15.75" x14ac:dyDescent="0.5">
      <c r="A22" s="116" t="s">
        <v>339</v>
      </c>
      <c r="B22" s="142"/>
      <c r="D22" s="684" t="s">
        <v>696</v>
      </c>
      <c r="E22" s="684"/>
      <c r="F22" s="14"/>
      <c r="G22" s="657" t="s">
        <v>702</v>
      </c>
      <c r="H22" s="657"/>
      <c r="I22" s="657"/>
      <c r="J22" s="403"/>
      <c r="L22" s="142">
        <v>60000</v>
      </c>
      <c r="M22" s="142">
        <v>40000</v>
      </c>
      <c r="N22" s="142">
        <f>SUM(K22:M22)</f>
        <v>100000</v>
      </c>
      <c r="R22" s="142">
        <v>60000</v>
      </c>
      <c r="S22" s="142">
        <v>40000</v>
      </c>
      <c r="T22" s="142">
        <f>SUM(Q22:S22)</f>
        <v>100000</v>
      </c>
    </row>
    <row r="23" spans="1:26" ht="15.75" x14ac:dyDescent="0.5">
      <c r="A23" s="116" t="s">
        <v>51</v>
      </c>
      <c r="B23" s="142">
        <v>60000</v>
      </c>
      <c r="C23" s="116" t="s">
        <v>188</v>
      </c>
      <c r="D23" s="404">
        <f>G5</f>
        <v>590.5</v>
      </c>
      <c r="E23" s="402" t="s">
        <v>241</v>
      </c>
      <c r="F23" s="29"/>
      <c r="G23" s="404">
        <f>'Table C'!P56</f>
        <v>677.16</v>
      </c>
      <c r="H23" s="402" t="s">
        <v>241</v>
      </c>
      <c r="I23" s="116"/>
      <c r="L23" s="404">
        <f>D23</f>
        <v>590.5</v>
      </c>
      <c r="M23" s="405">
        <f>D24</f>
        <v>5.2700000000000004E-3</v>
      </c>
      <c r="N23" s="405">
        <f>D25</f>
        <v>4.3900000000000007E-3</v>
      </c>
      <c r="O23" s="573">
        <f>G25</f>
        <v>5.0300000000000006E-3</v>
      </c>
      <c r="R23" s="404">
        <f>G23</f>
        <v>677.16</v>
      </c>
      <c r="S23" s="405">
        <f>G24</f>
        <v>6.0400000000000002E-3</v>
      </c>
      <c r="T23" s="405">
        <f>G25</f>
        <v>5.0300000000000006E-3</v>
      </c>
    </row>
    <row r="24" spans="1:26" ht="15.75" x14ac:dyDescent="0.5">
      <c r="A24" s="116" t="s">
        <v>52</v>
      </c>
      <c r="B24" s="142">
        <v>40000</v>
      </c>
      <c r="C24" s="116" t="s">
        <v>188</v>
      </c>
      <c r="D24" s="405">
        <f>G6</f>
        <v>5.2700000000000004E-3</v>
      </c>
      <c r="E24" s="402" t="s">
        <v>240</v>
      </c>
      <c r="F24" s="29"/>
      <c r="G24" s="405">
        <f>'Table C'!P57</f>
        <v>6.0400000000000002E-3</v>
      </c>
      <c r="H24" s="402" t="s">
        <v>240</v>
      </c>
      <c r="I24" s="116"/>
      <c r="K24" s="197">
        <v>120000</v>
      </c>
      <c r="L24" s="197">
        <v>60000</v>
      </c>
      <c r="M24" s="142">
        <v>40000</v>
      </c>
      <c r="N24" s="197">
        <f>K24-L24-M24</f>
        <v>20000</v>
      </c>
      <c r="O24" s="197">
        <f>SUM(L24:N24)</f>
        <v>120000</v>
      </c>
      <c r="Q24" s="197">
        <v>120000</v>
      </c>
      <c r="R24" s="197">
        <f t="shared" ref="R24:R28" si="11">L24</f>
        <v>60000</v>
      </c>
      <c r="S24" s="197">
        <f t="shared" ref="S24:S28" si="12">M24</f>
        <v>40000</v>
      </c>
      <c r="T24" s="197">
        <f t="shared" ref="T24:T28" si="13">N24</f>
        <v>20000</v>
      </c>
      <c r="U24" s="197">
        <f>SUM(R24:T24)</f>
        <v>120000</v>
      </c>
    </row>
    <row r="25" spans="1:26" ht="15.75" x14ac:dyDescent="0.5">
      <c r="A25" s="116" t="s">
        <v>114</v>
      </c>
      <c r="B25" s="142">
        <f>SUM(B22:B24)</f>
        <v>100000</v>
      </c>
      <c r="C25" s="116" t="s">
        <v>188</v>
      </c>
      <c r="D25" s="405">
        <f>G7</f>
        <v>4.3900000000000007E-3</v>
      </c>
      <c r="E25" s="402" t="s">
        <v>240</v>
      </c>
      <c r="F25" s="29"/>
      <c r="G25" s="405">
        <f>'Table C'!P58</f>
        <v>5.0300000000000006E-3</v>
      </c>
      <c r="H25" s="402" t="s">
        <v>240</v>
      </c>
      <c r="I25" s="116"/>
      <c r="K25" s="197">
        <v>140000</v>
      </c>
      <c r="L25" s="197">
        <v>60000</v>
      </c>
      <c r="M25" s="142">
        <v>40000</v>
      </c>
      <c r="N25" s="197">
        <f t="shared" ref="N25:N28" si="14">K25-L25-M25</f>
        <v>40000</v>
      </c>
      <c r="O25" s="197">
        <f>SUM(L25:N25)</f>
        <v>140000</v>
      </c>
      <c r="Q25" s="197">
        <v>140000</v>
      </c>
      <c r="R25" s="197">
        <f t="shared" si="11"/>
        <v>60000</v>
      </c>
      <c r="S25" s="197">
        <f t="shared" si="12"/>
        <v>40000</v>
      </c>
      <c r="T25" s="197">
        <f t="shared" si="13"/>
        <v>40000</v>
      </c>
      <c r="U25" s="197">
        <f>SUM(R25:T25)</f>
        <v>140000</v>
      </c>
    </row>
    <row r="26" spans="1:26" x14ac:dyDescent="0.4">
      <c r="K26" s="197">
        <v>160000</v>
      </c>
      <c r="L26" s="197">
        <v>60000</v>
      </c>
      <c r="M26" s="142">
        <v>40000</v>
      </c>
      <c r="N26" s="197">
        <f t="shared" si="14"/>
        <v>60000</v>
      </c>
      <c r="O26" s="197">
        <f>SUM(L26:N26)</f>
        <v>160000</v>
      </c>
      <c r="Q26" s="197">
        <v>160000</v>
      </c>
      <c r="R26" s="197">
        <f t="shared" si="11"/>
        <v>60000</v>
      </c>
      <c r="S26" s="197">
        <f t="shared" si="12"/>
        <v>40000</v>
      </c>
      <c r="T26" s="197">
        <f t="shared" si="13"/>
        <v>60000</v>
      </c>
      <c r="U26" s="197">
        <f>SUM(R26:T26)</f>
        <v>160000</v>
      </c>
    </row>
    <row r="27" spans="1:26" x14ac:dyDescent="0.4">
      <c r="G27" s="405"/>
      <c r="K27" s="197">
        <v>180000</v>
      </c>
      <c r="L27" s="197">
        <v>60000</v>
      </c>
      <c r="M27" s="142">
        <v>40000</v>
      </c>
      <c r="N27" s="197">
        <f t="shared" si="14"/>
        <v>80000</v>
      </c>
      <c r="O27" s="197">
        <f>SUM(L27:N27)</f>
        <v>180000</v>
      </c>
      <c r="Q27" s="197">
        <v>180000</v>
      </c>
      <c r="R27" s="197">
        <f t="shared" si="11"/>
        <v>60000</v>
      </c>
      <c r="S27" s="197">
        <f t="shared" si="12"/>
        <v>40000</v>
      </c>
      <c r="T27" s="197">
        <f t="shared" si="13"/>
        <v>80000</v>
      </c>
      <c r="U27" s="197">
        <f>SUM(R27:T27)</f>
        <v>180000</v>
      </c>
    </row>
    <row r="28" spans="1:26" x14ac:dyDescent="0.4">
      <c r="E28" s="514"/>
      <c r="F28" s="116"/>
      <c r="K28" s="197">
        <v>200000</v>
      </c>
      <c r="L28" s="197">
        <v>60000</v>
      </c>
      <c r="M28" s="142">
        <v>40000</v>
      </c>
      <c r="N28" s="197">
        <f t="shared" si="14"/>
        <v>100000</v>
      </c>
      <c r="O28" s="197">
        <f>SUM(L28:N28)</f>
        <v>200000</v>
      </c>
      <c r="Q28" s="197">
        <v>200000</v>
      </c>
      <c r="R28" s="197">
        <f t="shared" si="11"/>
        <v>60000</v>
      </c>
      <c r="S28" s="197">
        <f t="shared" si="12"/>
        <v>40000</v>
      </c>
      <c r="T28" s="197">
        <f t="shared" si="13"/>
        <v>100000</v>
      </c>
      <c r="U28" s="197">
        <f>SUM(R28:T28)</f>
        <v>200000</v>
      </c>
    </row>
    <row r="29" spans="1:26" x14ac:dyDescent="0.4">
      <c r="E29" s="514"/>
      <c r="F29" s="116"/>
    </row>
    <row r="30" spans="1:26" x14ac:dyDescent="0.4">
      <c r="E30" s="514"/>
      <c r="F30" s="116"/>
      <c r="K30" s="197">
        <v>120000</v>
      </c>
      <c r="L30" s="138">
        <f>L23</f>
        <v>590.5</v>
      </c>
      <c r="M30" s="138">
        <f>M24*M$23</f>
        <v>210.8</v>
      </c>
      <c r="N30" s="138">
        <f t="shared" ref="N30" si="15">N24*N$23</f>
        <v>87.800000000000011</v>
      </c>
      <c r="O30" s="138">
        <f t="shared" ref="O30:O34" si="16">SUM(L30:N30)</f>
        <v>889.09999999999991</v>
      </c>
      <c r="Q30" s="197">
        <v>120000</v>
      </c>
      <c r="R30" s="138">
        <f>R23</f>
        <v>677.16</v>
      </c>
      <c r="S30" s="138">
        <f>S24*S$23</f>
        <v>241.60000000000002</v>
      </c>
      <c r="T30" s="138">
        <f t="shared" ref="T30" si="17">T24*T$23</f>
        <v>100.60000000000001</v>
      </c>
      <c r="U30" s="138">
        <f>SUM(R30:T30)</f>
        <v>1019.36</v>
      </c>
    </row>
    <row r="31" spans="1:26" x14ac:dyDescent="0.4">
      <c r="E31" s="514"/>
      <c r="F31" s="116"/>
      <c r="K31" s="197">
        <v>140000</v>
      </c>
      <c r="L31" s="138">
        <f t="shared" ref="L31:L34" si="18">L30</f>
        <v>590.5</v>
      </c>
      <c r="M31" s="138">
        <f t="shared" ref="M31:N34" si="19">M25*M$23</f>
        <v>210.8</v>
      </c>
      <c r="N31" s="138">
        <f t="shared" si="19"/>
        <v>175.60000000000002</v>
      </c>
      <c r="O31" s="138">
        <f t="shared" si="16"/>
        <v>976.9</v>
      </c>
      <c r="Q31" s="197">
        <v>140000</v>
      </c>
      <c r="R31" s="138">
        <f t="shared" ref="R31:R34" si="20">R30</f>
        <v>677.16</v>
      </c>
      <c r="S31" s="138">
        <f t="shared" ref="S31:T31" si="21">S25*S$23</f>
        <v>241.60000000000002</v>
      </c>
      <c r="T31" s="138">
        <f t="shared" si="21"/>
        <v>201.20000000000002</v>
      </c>
      <c r="U31" s="138">
        <f>SUM(R31:T31)</f>
        <v>1119.96</v>
      </c>
    </row>
    <row r="32" spans="1:26" x14ac:dyDescent="0.4">
      <c r="E32" s="514"/>
      <c r="F32" s="116"/>
      <c r="K32" s="197">
        <v>160000</v>
      </c>
      <c r="L32" s="138">
        <f t="shared" si="18"/>
        <v>590.5</v>
      </c>
      <c r="M32" s="138">
        <f t="shared" si="19"/>
        <v>210.8</v>
      </c>
      <c r="N32" s="138">
        <f t="shared" si="19"/>
        <v>263.40000000000003</v>
      </c>
      <c r="O32" s="138">
        <f t="shared" si="16"/>
        <v>1064.7</v>
      </c>
      <c r="Q32" s="197">
        <v>160000</v>
      </c>
      <c r="R32" s="138">
        <f t="shared" si="20"/>
        <v>677.16</v>
      </c>
      <c r="S32" s="138">
        <f t="shared" ref="S32:T32" si="22">S26*S$23</f>
        <v>241.60000000000002</v>
      </c>
      <c r="T32" s="138">
        <f t="shared" si="22"/>
        <v>301.8</v>
      </c>
      <c r="U32" s="138">
        <f>SUM(R32:T32)</f>
        <v>1220.56</v>
      </c>
    </row>
    <row r="33" spans="3:21" x14ac:dyDescent="0.4">
      <c r="E33" s="514"/>
      <c r="F33" s="116"/>
      <c r="K33" s="197">
        <v>180000</v>
      </c>
      <c r="L33" s="138">
        <f t="shared" si="18"/>
        <v>590.5</v>
      </c>
      <c r="M33" s="138">
        <f t="shared" si="19"/>
        <v>210.8</v>
      </c>
      <c r="N33" s="138">
        <f t="shared" si="19"/>
        <v>351.20000000000005</v>
      </c>
      <c r="O33" s="138">
        <f t="shared" si="16"/>
        <v>1152.5</v>
      </c>
      <c r="Q33" s="197">
        <v>180000</v>
      </c>
      <c r="R33" s="138">
        <f t="shared" si="20"/>
        <v>677.16</v>
      </c>
      <c r="S33" s="138">
        <f t="shared" ref="S33:T33" si="23">S27*S$23</f>
        <v>241.60000000000002</v>
      </c>
      <c r="T33" s="138">
        <f t="shared" si="23"/>
        <v>402.40000000000003</v>
      </c>
      <c r="U33" s="138">
        <f>SUM(R33:T33)</f>
        <v>1321.16</v>
      </c>
    </row>
    <row r="34" spans="3:21" x14ac:dyDescent="0.4">
      <c r="E34" s="514"/>
      <c r="F34" s="116"/>
      <c r="K34" s="197">
        <v>200000</v>
      </c>
      <c r="L34" s="138">
        <f t="shared" si="18"/>
        <v>590.5</v>
      </c>
      <c r="M34" s="138">
        <f t="shared" si="19"/>
        <v>210.8</v>
      </c>
      <c r="N34" s="138">
        <f t="shared" si="19"/>
        <v>439.00000000000006</v>
      </c>
      <c r="O34" s="138">
        <f t="shared" si="16"/>
        <v>1240.3</v>
      </c>
      <c r="Q34" s="197">
        <v>200000</v>
      </c>
      <c r="R34" s="138">
        <f t="shared" si="20"/>
        <v>677.16</v>
      </c>
      <c r="S34" s="138">
        <f t="shared" ref="S34:T34" si="24">S28*S$23</f>
        <v>241.60000000000002</v>
      </c>
      <c r="T34" s="138">
        <f t="shared" si="24"/>
        <v>503.00000000000006</v>
      </c>
      <c r="U34" s="138">
        <f>SUM(R34:T34)</f>
        <v>1421.76</v>
      </c>
    </row>
    <row r="46" spans="3:21" x14ac:dyDescent="0.4">
      <c r="C46"/>
      <c r="D46"/>
      <c r="E46"/>
      <c r="F46"/>
      <c r="G46"/>
      <c r="H46"/>
      <c r="I46"/>
      <c r="J46"/>
    </row>
    <row r="47" spans="3:21" x14ac:dyDescent="0.4">
      <c r="C47"/>
      <c r="D47"/>
      <c r="E47"/>
      <c r="F47"/>
      <c r="G47"/>
      <c r="H47"/>
      <c r="I47"/>
      <c r="J47"/>
    </row>
    <row r="48" spans="3:21" x14ac:dyDescent="0.4">
      <c r="C48"/>
      <c r="D48"/>
      <c r="E48"/>
      <c r="F48"/>
      <c r="G48"/>
      <c r="H48"/>
      <c r="I48"/>
      <c r="J48"/>
    </row>
    <row r="50" spans="1:21" x14ac:dyDescent="0.4">
      <c r="C50" s="512"/>
      <c r="I50" s="513"/>
      <c r="K50" s="686" t="s">
        <v>660</v>
      </c>
      <c r="L50" s="686"/>
      <c r="M50" s="686"/>
      <c r="N50" s="686"/>
      <c r="O50" s="686"/>
      <c r="Q50" s="686" t="s">
        <v>660</v>
      </c>
      <c r="R50" s="686"/>
      <c r="S50" s="686"/>
      <c r="T50" s="686"/>
      <c r="U50" s="686"/>
    </row>
    <row r="51" spans="1:21" ht="15.75" x14ac:dyDescent="0.5">
      <c r="A51" s="116" t="s">
        <v>339</v>
      </c>
      <c r="B51" s="142"/>
      <c r="D51" s="403"/>
      <c r="E51" s="402"/>
      <c r="F51" s="29"/>
      <c r="H51" s="142"/>
      <c r="I51" s="116"/>
      <c r="J51" s="403"/>
      <c r="L51" s="142">
        <v>60000</v>
      </c>
      <c r="M51" s="142">
        <v>40000</v>
      </c>
      <c r="N51" s="142">
        <f>SUM(K51:M51)</f>
        <v>100000</v>
      </c>
      <c r="R51" s="142">
        <v>60000</v>
      </c>
      <c r="S51" s="142">
        <v>40000</v>
      </c>
      <c r="T51" s="142">
        <f>SUM(Q51:S51)</f>
        <v>100000</v>
      </c>
    </row>
    <row r="52" spans="1:21" ht="15.75" x14ac:dyDescent="0.5">
      <c r="A52" s="116" t="s">
        <v>51</v>
      </c>
      <c r="B52" s="142">
        <v>60000</v>
      </c>
      <c r="C52" s="116" t="s">
        <v>188</v>
      </c>
      <c r="D52" s="404" t="e">
        <f>#REF!</f>
        <v>#REF!</v>
      </c>
      <c r="E52" s="402" t="s">
        <v>241</v>
      </c>
      <c r="F52" s="29"/>
      <c r="G52" s="404" t="e">
        <f>#REF!</f>
        <v>#REF!</v>
      </c>
      <c r="H52" s="402" t="s">
        <v>241</v>
      </c>
      <c r="I52" s="116"/>
      <c r="L52" s="404" t="e">
        <f>D52</f>
        <v>#REF!</v>
      </c>
      <c r="M52" s="405" t="e">
        <f>D53</f>
        <v>#REF!</v>
      </c>
      <c r="N52" s="405" t="e">
        <f>D54</f>
        <v>#REF!</v>
      </c>
      <c r="R52" s="404" t="e">
        <f>G52</f>
        <v>#REF!</v>
      </c>
      <c r="S52" s="405" t="e">
        <f>G53</f>
        <v>#REF!</v>
      </c>
      <c r="T52" s="405" t="e">
        <f>G54</f>
        <v>#REF!</v>
      </c>
    </row>
    <row r="53" spans="1:21" ht="15.75" x14ac:dyDescent="0.5">
      <c r="A53" s="116" t="s">
        <v>52</v>
      </c>
      <c r="B53" s="142">
        <v>40000</v>
      </c>
      <c r="C53" s="116" t="s">
        <v>188</v>
      </c>
      <c r="D53" s="405" t="e">
        <f>#REF!</f>
        <v>#REF!</v>
      </c>
      <c r="E53" s="402" t="s">
        <v>240</v>
      </c>
      <c r="F53" s="29"/>
      <c r="G53" s="405" t="e">
        <f>#REF!</f>
        <v>#REF!</v>
      </c>
      <c r="H53" s="402" t="s">
        <v>240</v>
      </c>
      <c r="I53" s="116"/>
      <c r="K53" s="197">
        <v>120000</v>
      </c>
      <c r="L53" s="197">
        <v>60000</v>
      </c>
      <c r="M53" s="142">
        <v>40000</v>
      </c>
      <c r="N53" s="197">
        <f>K53-L53-M53</f>
        <v>20000</v>
      </c>
      <c r="O53" s="197">
        <f>SUM(L53:N53)</f>
        <v>120000</v>
      </c>
      <c r="Q53" s="197">
        <v>120000</v>
      </c>
      <c r="R53" s="197">
        <f t="shared" ref="R53:S57" si="25">L53</f>
        <v>60000</v>
      </c>
      <c r="S53" s="197">
        <f t="shared" si="25"/>
        <v>40000</v>
      </c>
      <c r="T53" s="197">
        <f t="shared" ref="T53:T57" si="26">N53</f>
        <v>20000</v>
      </c>
      <c r="U53" s="197">
        <f>SUM(R53:T53)</f>
        <v>120000</v>
      </c>
    </row>
    <row r="54" spans="1:21" ht="15.75" x14ac:dyDescent="0.5">
      <c r="A54" s="116" t="s">
        <v>114</v>
      </c>
      <c r="B54" s="142">
        <f>SUM(B51:B53)</f>
        <v>100000</v>
      </c>
      <c r="C54" s="116" t="s">
        <v>188</v>
      </c>
      <c r="D54" s="405" t="e">
        <f>#REF!</f>
        <v>#REF!</v>
      </c>
      <c r="E54" s="402" t="s">
        <v>240</v>
      </c>
      <c r="F54" s="29"/>
      <c r="G54" s="405" t="e">
        <f>#REF!</f>
        <v>#REF!</v>
      </c>
      <c r="H54" s="402" t="s">
        <v>240</v>
      </c>
      <c r="I54" s="116"/>
      <c r="K54" s="197">
        <v>140000</v>
      </c>
      <c r="L54" s="197">
        <v>60000</v>
      </c>
      <c r="M54" s="142">
        <v>40000</v>
      </c>
      <c r="N54" s="197">
        <f t="shared" ref="N54:N57" si="27">K54-L54-M54</f>
        <v>40000</v>
      </c>
      <c r="O54" s="197">
        <f>SUM(L54:N54)</f>
        <v>140000</v>
      </c>
      <c r="Q54" s="197">
        <v>140000</v>
      </c>
      <c r="R54" s="197">
        <f t="shared" si="25"/>
        <v>60000</v>
      </c>
      <c r="S54" s="197">
        <f t="shared" si="25"/>
        <v>40000</v>
      </c>
      <c r="T54" s="197">
        <f t="shared" si="26"/>
        <v>40000</v>
      </c>
      <c r="U54" s="197">
        <f>SUM(R54:T54)</f>
        <v>140000</v>
      </c>
    </row>
    <row r="55" spans="1:21" x14ac:dyDescent="0.4">
      <c r="K55" s="197">
        <v>160000</v>
      </c>
      <c r="L55" s="197">
        <v>60000</v>
      </c>
      <c r="M55" s="142">
        <v>40000</v>
      </c>
      <c r="N55" s="197">
        <f t="shared" si="27"/>
        <v>60000</v>
      </c>
      <c r="O55" s="197">
        <f>SUM(L55:N55)</f>
        <v>160000</v>
      </c>
      <c r="Q55" s="197">
        <v>160000</v>
      </c>
      <c r="R55" s="197">
        <f t="shared" si="25"/>
        <v>60000</v>
      </c>
      <c r="S55" s="197">
        <f t="shared" si="25"/>
        <v>40000</v>
      </c>
      <c r="T55" s="197">
        <f t="shared" si="26"/>
        <v>60000</v>
      </c>
      <c r="U55" s="197">
        <f>SUM(R55:T55)</f>
        <v>160000</v>
      </c>
    </row>
    <row r="56" spans="1:21" x14ac:dyDescent="0.4">
      <c r="G56" s="405"/>
      <c r="K56" s="197">
        <v>180000</v>
      </c>
      <c r="L56" s="197">
        <v>60000</v>
      </c>
      <c r="M56" s="142">
        <v>40000</v>
      </c>
      <c r="N56" s="197">
        <f t="shared" si="27"/>
        <v>80000</v>
      </c>
      <c r="O56" s="197">
        <f>SUM(L56:N56)</f>
        <v>180000</v>
      </c>
      <c r="Q56" s="197">
        <v>180000</v>
      </c>
      <c r="R56" s="197">
        <f t="shared" si="25"/>
        <v>60000</v>
      </c>
      <c r="S56" s="197">
        <f t="shared" si="25"/>
        <v>40000</v>
      </c>
      <c r="T56" s="197">
        <f t="shared" si="26"/>
        <v>80000</v>
      </c>
      <c r="U56" s="197">
        <f>SUM(R56:T56)</f>
        <v>180000</v>
      </c>
    </row>
    <row r="57" spans="1:21" x14ac:dyDescent="0.4">
      <c r="E57" s="514"/>
      <c r="F57" s="116"/>
      <c r="K57" s="197">
        <v>200000</v>
      </c>
      <c r="L57" s="197">
        <v>60000</v>
      </c>
      <c r="M57" s="142">
        <v>40000</v>
      </c>
      <c r="N57" s="197">
        <f t="shared" si="27"/>
        <v>100000</v>
      </c>
      <c r="O57" s="197">
        <f>SUM(L57:N57)</f>
        <v>200000</v>
      </c>
      <c r="Q57" s="197">
        <v>200000</v>
      </c>
      <c r="R57" s="197">
        <f t="shared" si="25"/>
        <v>60000</v>
      </c>
      <c r="S57" s="197">
        <f t="shared" si="25"/>
        <v>40000</v>
      </c>
      <c r="T57" s="197">
        <f t="shared" si="26"/>
        <v>100000</v>
      </c>
      <c r="U57" s="197">
        <f>SUM(R57:T57)</f>
        <v>200000</v>
      </c>
    </row>
    <row r="58" spans="1:21" x14ac:dyDescent="0.4">
      <c r="E58" s="514"/>
      <c r="F58" s="116"/>
    </row>
    <row r="59" spans="1:21" x14ac:dyDescent="0.4">
      <c r="E59" s="514"/>
      <c r="F59" s="116"/>
      <c r="K59" s="197">
        <v>120000</v>
      </c>
      <c r="L59" s="138" t="e">
        <f>L52</f>
        <v>#REF!</v>
      </c>
      <c r="M59" s="138" t="e">
        <f t="shared" ref="M59:N63" si="28">M53*M$52</f>
        <v>#REF!</v>
      </c>
      <c r="N59" s="138" t="e">
        <f t="shared" si="28"/>
        <v>#REF!</v>
      </c>
      <c r="O59" s="138" t="e">
        <f>SUM(L59:N59)</f>
        <v>#REF!</v>
      </c>
      <c r="Q59" s="197">
        <v>120000</v>
      </c>
      <c r="R59" s="138" t="e">
        <f>R52</f>
        <v>#REF!</v>
      </c>
      <c r="S59" s="138" t="e">
        <f t="shared" ref="S59:T63" si="29">S53*S$52</f>
        <v>#REF!</v>
      </c>
      <c r="T59" s="138" t="e">
        <f t="shared" si="29"/>
        <v>#REF!</v>
      </c>
      <c r="U59" s="138" t="e">
        <f>SUM(R59:T59)</f>
        <v>#REF!</v>
      </c>
    </row>
    <row r="60" spans="1:21" x14ac:dyDescent="0.4">
      <c r="E60" s="514"/>
      <c r="F60" s="116"/>
      <c r="K60" s="197">
        <v>140000</v>
      </c>
      <c r="L60" s="138" t="e">
        <f t="shared" ref="L60:L63" si="30">L59</f>
        <v>#REF!</v>
      </c>
      <c r="M60" s="138" t="e">
        <f t="shared" si="28"/>
        <v>#REF!</v>
      </c>
      <c r="N60" s="138" t="e">
        <f t="shared" si="28"/>
        <v>#REF!</v>
      </c>
      <c r="O60" s="138" t="e">
        <f>SUM(L60:N60)</f>
        <v>#REF!</v>
      </c>
      <c r="Q60" s="197">
        <v>140000</v>
      </c>
      <c r="R60" s="138" t="e">
        <f t="shared" ref="R60:R63" si="31">R59</f>
        <v>#REF!</v>
      </c>
      <c r="S60" s="138" t="e">
        <f t="shared" si="29"/>
        <v>#REF!</v>
      </c>
      <c r="T60" s="138" t="e">
        <f t="shared" si="29"/>
        <v>#REF!</v>
      </c>
      <c r="U60" s="138" t="e">
        <f>SUM(R60:T60)</f>
        <v>#REF!</v>
      </c>
    </row>
    <row r="61" spans="1:21" x14ac:dyDescent="0.4">
      <c r="E61" s="514"/>
      <c r="F61" s="116"/>
      <c r="K61" s="197">
        <v>160000</v>
      </c>
      <c r="L61" s="138" t="e">
        <f t="shared" si="30"/>
        <v>#REF!</v>
      </c>
      <c r="M61" s="138" t="e">
        <f t="shared" si="28"/>
        <v>#REF!</v>
      </c>
      <c r="N61" s="138" t="e">
        <f t="shared" si="28"/>
        <v>#REF!</v>
      </c>
      <c r="O61" s="138" t="e">
        <f>SUM(L61:N61)</f>
        <v>#REF!</v>
      </c>
      <c r="Q61" s="197">
        <v>160000</v>
      </c>
      <c r="R61" s="138" t="e">
        <f t="shared" si="31"/>
        <v>#REF!</v>
      </c>
      <c r="S61" s="138" t="e">
        <f t="shared" si="29"/>
        <v>#REF!</v>
      </c>
      <c r="T61" s="138" t="e">
        <f t="shared" si="29"/>
        <v>#REF!</v>
      </c>
      <c r="U61" s="138" t="e">
        <f>SUM(R61:T61)</f>
        <v>#REF!</v>
      </c>
    </row>
    <row r="62" spans="1:21" x14ac:dyDescent="0.4">
      <c r="E62" s="514"/>
      <c r="F62" s="116"/>
      <c r="K62" s="197">
        <v>180000</v>
      </c>
      <c r="L62" s="138" t="e">
        <f t="shared" si="30"/>
        <v>#REF!</v>
      </c>
      <c r="M62" s="138" t="e">
        <f t="shared" si="28"/>
        <v>#REF!</v>
      </c>
      <c r="N62" s="138" t="e">
        <f t="shared" si="28"/>
        <v>#REF!</v>
      </c>
      <c r="O62" s="138" t="e">
        <f>SUM(L62:N62)</f>
        <v>#REF!</v>
      </c>
      <c r="Q62" s="197">
        <v>180000</v>
      </c>
      <c r="R62" s="138" t="e">
        <f t="shared" si="31"/>
        <v>#REF!</v>
      </c>
      <c r="S62" s="138" t="e">
        <f t="shared" si="29"/>
        <v>#REF!</v>
      </c>
      <c r="T62" s="138" t="e">
        <f t="shared" si="29"/>
        <v>#REF!</v>
      </c>
      <c r="U62" s="138" t="e">
        <f>SUM(R62:T62)</f>
        <v>#REF!</v>
      </c>
    </row>
    <row r="63" spans="1:21" x14ac:dyDescent="0.4">
      <c r="E63" s="514"/>
      <c r="F63" s="116"/>
      <c r="K63" s="197">
        <v>200000</v>
      </c>
      <c r="L63" s="138" t="e">
        <f t="shared" si="30"/>
        <v>#REF!</v>
      </c>
      <c r="M63" s="138" t="e">
        <f t="shared" si="28"/>
        <v>#REF!</v>
      </c>
      <c r="N63" s="138" t="e">
        <f t="shared" si="28"/>
        <v>#REF!</v>
      </c>
      <c r="O63" s="138" t="e">
        <f>SUM(L63:N63)</f>
        <v>#REF!</v>
      </c>
      <c r="Q63" s="197">
        <v>200000</v>
      </c>
      <c r="R63" s="138" t="e">
        <f t="shared" si="31"/>
        <v>#REF!</v>
      </c>
      <c r="S63" s="138" t="e">
        <f t="shared" si="29"/>
        <v>#REF!</v>
      </c>
      <c r="T63" s="138" t="e">
        <f t="shared" si="29"/>
        <v>#REF!</v>
      </c>
      <c r="U63" s="138" t="e">
        <f>SUM(R63:T63)</f>
        <v>#REF!</v>
      </c>
    </row>
    <row r="64" spans="1:21" x14ac:dyDescent="0.4">
      <c r="E64" s="514"/>
      <c r="F64" s="116"/>
    </row>
    <row r="65" spans="5:6" x14ac:dyDescent="0.4">
      <c r="E65" s="514"/>
      <c r="F65" s="116"/>
    </row>
  </sheetData>
  <mergeCells count="12">
    <mergeCell ref="K50:O50"/>
    <mergeCell ref="Q50:U50"/>
    <mergeCell ref="A2:Z2"/>
    <mergeCell ref="K3:P3"/>
    <mergeCell ref="R3:W3"/>
    <mergeCell ref="D4:E4"/>
    <mergeCell ref="G4:I4"/>
    <mergeCell ref="A20:Z20"/>
    <mergeCell ref="K21:P21"/>
    <mergeCell ref="R21:W21"/>
    <mergeCell ref="D22:E22"/>
    <mergeCell ref="G22:I2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D79CA-5BC4-4E1E-9F26-718121867A5B}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9"/>
  <sheetViews>
    <sheetView view="pageBreakPreview" zoomScale="124" zoomScaleNormal="100" zoomScaleSheetLayoutView="124" workbookViewId="0">
      <selection activeCell="B2" sqref="B2"/>
    </sheetView>
  </sheetViews>
  <sheetFormatPr defaultColWidth="8.88671875" defaultRowHeight="14.25" x14ac:dyDescent="0.45"/>
  <cols>
    <col min="1" max="1" width="3.77734375" style="1" customWidth="1"/>
    <col min="2" max="2" width="10.6640625" style="1" customWidth="1"/>
    <col min="3" max="3" width="10.109375" style="1" customWidth="1"/>
    <col min="4" max="4" width="10.33203125" style="1" customWidth="1"/>
    <col min="5" max="5" width="9.77734375" style="1" customWidth="1"/>
    <col min="6" max="6" width="10.44140625" style="1" customWidth="1"/>
    <col min="7" max="7" width="9.77734375" style="1" customWidth="1"/>
    <col min="8" max="8" width="9.44140625" style="1" bestFit="1" customWidth="1"/>
    <col min="9" max="9" width="12.33203125" style="1" customWidth="1"/>
    <col min="10" max="10" width="9.5546875" style="1" customWidth="1"/>
    <col min="11" max="11" width="9" style="1" bestFit="1" customWidth="1"/>
    <col min="12" max="12" width="8.88671875" style="1"/>
    <col min="13" max="13" width="9" style="1" bestFit="1" customWidth="1"/>
    <col min="14" max="14" width="9" style="1" customWidth="1"/>
    <col min="15" max="15" width="9.88671875" style="1" customWidth="1"/>
    <col min="16" max="16" width="10.109375" style="1" customWidth="1"/>
    <col min="17" max="17" width="10.5546875" style="1" customWidth="1"/>
    <col min="18" max="18" width="8.88671875" style="1"/>
    <col min="19" max="19" width="11.109375" style="1" customWidth="1"/>
    <col min="20" max="20" width="9" style="1" bestFit="1" customWidth="1"/>
    <col min="21" max="21" width="10.77734375" style="1" customWidth="1"/>
    <col min="22" max="22" width="9" style="1" bestFit="1" customWidth="1"/>
    <col min="23" max="23" width="9.77734375" style="1" bestFit="1" customWidth="1"/>
    <col min="24" max="16384" width="8.88671875" style="1"/>
  </cols>
  <sheetData>
    <row r="1" spans="1:22" ht="18" x14ac:dyDescent="0.45">
      <c r="B1" s="23" t="s">
        <v>659</v>
      </c>
      <c r="E1" s="35"/>
      <c r="F1" s="35"/>
      <c r="G1" s="35"/>
    </row>
    <row r="2" spans="1:22" x14ac:dyDescent="0.45">
      <c r="D2" s="150"/>
      <c r="E2" s="35"/>
      <c r="F2" s="35"/>
      <c r="G2" s="35"/>
    </row>
    <row r="3" spans="1:22" x14ac:dyDescent="0.45">
      <c r="A3" s="3"/>
      <c r="B3" s="48" t="s">
        <v>37</v>
      </c>
      <c r="C3" s="11"/>
      <c r="D3" s="11"/>
      <c r="E3" s="11"/>
      <c r="F3" s="11"/>
      <c r="I3" s="48" t="s">
        <v>94</v>
      </c>
      <c r="S3" s="48" t="s">
        <v>106</v>
      </c>
    </row>
    <row r="4" spans="1:22" x14ac:dyDescent="0.45">
      <c r="A4" s="3"/>
      <c r="B4" s="11" t="s">
        <v>38</v>
      </c>
      <c r="C4" s="3"/>
      <c r="D4" s="3">
        <v>329001000</v>
      </c>
      <c r="E4" s="148"/>
      <c r="F4" s="10"/>
      <c r="G4" s="3"/>
      <c r="Q4" s="2" t="s">
        <v>57</v>
      </c>
    </row>
    <row r="5" spans="1:22" x14ac:dyDescent="0.45">
      <c r="A5" s="3"/>
      <c r="B5" s="11" t="s">
        <v>39</v>
      </c>
      <c r="C5" s="3"/>
      <c r="D5" s="3">
        <v>268790000</v>
      </c>
      <c r="E5" s="11"/>
      <c r="F5" s="11"/>
      <c r="J5" s="2" t="s">
        <v>176</v>
      </c>
      <c r="K5" s="2"/>
      <c r="L5" s="2"/>
      <c r="M5" s="2" t="s">
        <v>78</v>
      </c>
      <c r="N5" s="259"/>
      <c r="O5" s="2" t="s">
        <v>54</v>
      </c>
      <c r="P5" s="2" t="s">
        <v>54</v>
      </c>
      <c r="Q5" s="2" t="s">
        <v>54</v>
      </c>
      <c r="S5" s="18" t="s">
        <v>152</v>
      </c>
      <c r="U5" s="9"/>
    </row>
    <row r="6" spans="1:22" ht="16.5" x14ac:dyDescent="0.75">
      <c r="A6" s="3"/>
      <c r="B6" s="11" t="s">
        <v>40</v>
      </c>
      <c r="C6" s="3"/>
      <c r="D6" s="3"/>
      <c r="E6" s="11"/>
      <c r="F6" s="11"/>
      <c r="I6" s="6" t="s">
        <v>82</v>
      </c>
      <c r="J6" s="6" t="s">
        <v>177</v>
      </c>
      <c r="K6" s="6" t="s">
        <v>179</v>
      </c>
      <c r="L6" s="6" t="s">
        <v>263</v>
      </c>
      <c r="M6" s="6" t="s">
        <v>79</v>
      </c>
      <c r="N6" s="260" t="s">
        <v>264</v>
      </c>
      <c r="O6" s="6" t="s">
        <v>97</v>
      </c>
      <c r="P6" s="6" t="s">
        <v>81</v>
      </c>
      <c r="Q6" s="6" t="s">
        <v>80</v>
      </c>
      <c r="T6" s="52" t="s">
        <v>155</v>
      </c>
      <c r="U6" s="52" t="s">
        <v>156</v>
      </c>
      <c r="V6" s="52" t="s">
        <v>57</v>
      </c>
    </row>
    <row r="7" spans="1:22" ht="15.75" x14ac:dyDescent="0.5">
      <c r="A7" s="3"/>
      <c r="B7" s="1" t="s">
        <v>41</v>
      </c>
      <c r="C7" s="3">
        <v>0</v>
      </c>
      <c r="D7" s="3"/>
      <c r="E7" s="11"/>
      <c r="F7" s="11"/>
      <c r="G7" s="21"/>
      <c r="I7" s="261" t="s">
        <v>248</v>
      </c>
      <c r="J7" s="261" t="s">
        <v>178</v>
      </c>
      <c r="K7" s="49" t="e">
        <f>#REF!</f>
        <v>#REF!</v>
      </c>
      <c r="L7" s="49" t="e">
        <f>#REF!</f>
        <v>#REF!</v>
      </c>
      <c r="M7" s="33" t="e">
        <f>#REF!</f>
        <v>#REF!</v>
      </c>
      <c r="N7" s="33">
        <v>0</v>
      </c>
      <c r="O7" s="51"/>
      <c r="P7" s="4"/>
      <c r="Q7" s="3">
        <f>O7+P7</f>
        <v>0</v>
      </c>
      <c r="S7" s="88" t="s">
        <v>153</v>
      </c>
      <c r="T7" s="3">
        <v>4</v>
      </c>
      <c r="U7" s="33">
        <v>750</v>
      </c>
      <c r="V7" s="3">
        <f>U7*T7</f>
        <v>3000</v>
      </c>
    </row>
    <row r="8" spans="1:22" ht="17.649999999999999" x14ac:dyDescent="0.75">
      <c r="A8" s="3"/>
      <c r="B8" s="11" t="s">
        <v>42</v>
      </c>
      <c r="C8" s="3">
        <v>2037000</v>
      </c>
      <c r="D8" s="3"/>
      <c r="E8" s="11"/>
      <c r="F8" s="11"/>
      <c r="I8" s="261" t="s">
        <v>249</v>
      </c>
      <c r="J8" s="261" t="s">
        <v>178</v>
      </c>
      <c r="K8" s="49" t="e">
        <f>#REF!</f>
        <v>#REF!</v>
      </c>
      <c r="L8" s="49" t="e">
        <f>#REF!</f>
        <v>#REF!</v>
      </c>
      <c r="M8" s="33" t="e">
        <f>#REF!</f>
        <v>#REF!</v>
      </c>
      <c r="N8" s="33">
        <v>3150</v>
      </c>
      <c r="O8" s="51"/>
      <c r="P8" s="4"/>
      <c r="Q8" s="3">
        <f t="shared" ref="Q8:Q13" si="0">O8+P8</f>
        <v>0</v>
      </c>
      <c r="R8" s="21"/>
      <c r="S8" s="88" t="s">
        <v>154</v>
      </c>
      <c r="T8" s="3">
        <v>1</v>
      </c>
      <c r="U8" s="3">
        <v>1000</v>
      </c>
      <c r="V8" s="24">
        <f>U8*T8</f>
        <v>1000</v>
      </c>
    </row>
    <row r="9" spans="1:22" ht="15.75" x14ac:dyDescent="0.5">
      <c r="A9" s="3"/>
      <c r="B9" s="11" t="s">
        <v>43</v>
      </c>
      <c r="C9" s="3">
        <v>119000</v>
      </c>
      <c r="D9" s="3"/>
      <c r="E9" s="11"/>
      <c r="F9" s="11"/>
      <c r="I9" s="261" t="s">
        <v>250</v>
      </c>
      <c r="J9" s="261" t="s">
        <v>178</v>
      </c>
      <c r="K9" s="49" t="e">
        <f>#REF!</f>
        <v>#REF!</v>
      </c>
      <c r="L9" s="49" t="e">
        <f>#REF!</f>
        <v>#REF!</v>
      </c>
      <c r="M9" s="33" t="e">
        <f>#REF!</f>
        <v>#REF!</v>
      </c>
      <c r="N9" s="33">
        <v>0</v>
      </c>
      <c r="O9" s="51"/>
      <c r="P9" s="4"/>
      <c r="Q9" s="3">
        <f t="shared" si="0"/>
        <v>0</v>
      </c>
      <c r="T9" s="3"/>
      <c r="U9" s="53" t="s">
        <v>157</v>
      </c>
      <c r="V9" s="3">
        <f>V8+V7</f>
        <v>4000</v>
      </c>
    </row>
    <row r="10" spans="1:22" ht="14.25" customHeight="1" x14ac:dyDescent="0.75">
      <c r="A10" s="3"/>
      <c r="B10" s="11" t="s">
        <v>44</v>
      </c>
      <c r="C10" s="56">
        <v>406000</v>
      </c>
      <c r="D10" s="3">
        <f>SUM(C7:C10)</f>
        <v>2562000</v>
      </c>
      <c r="E10" s="11"/>
      <c r="F10" s="11"/>
      <c r="I10" s="261" t="s">
        <v>251</v>
      </c>
      <c r="J10" s="261" t="s">
        <v>178</v>
      </c>
      <c r="K10" s="49" t="e">
        <f>#REF!</f>
        <v>#REF!</v>
      </c>
      <c r="L10" s="49" t="e">
        <f>#REF!</f>
        <v>#REF!</v>
      </c>
      <c r="M10" s="33" t="e">
        <f>#REF!</f>
        <v>#REF!</v>
      </c>
      <c r="N10" s="33">
        <v>0</v>
      </c>
      <c r="O10" s="51"/>
      <c r="P10" s="4"/>
      <c r="Q10" s="3">
        <f t="shared" si="0"/>
        <v>0</v>
      </c>
      <c r="T10" s="3"/>
      <c r="U10" s="3"/>
    </row>
    <row r="11" spans="1:22" ht="14.25" customHeight="1" x14ac:dyDescent="0.5">
      <c r="A11" s="3"/>
      <c r="B11" s="11" t="s">
        <v>246</v>
      </c>
      <c r="C11" s="4">
        <v>420000</v>
      </c>
      <c r="D11" s="3"/>
      <c r="E11" s="11"/>
      <c r="F11" s="11"/>
      <c r="I11" s="261" t="s">
        <v>252</v>
      </c>
      <c r="J11" s="261" t="s">
        <v>178</v>
      </c>
      <c r="K11" s="49" t="e">
        <f>#REF!</f>
        <v>#REF!</v>
      </c>
      <c r="L11" s="49" t="e">
        <f>#REF!</f>
        <v>#REF!</v>
      </c>
      <c r="M11" s="33" t="e">
        <f>#REF!</f>
        <v>#REF!</v>
      </c>
      <c r="N11" s="33">
        <v>36.659999999999997</v>
      </c>
      <c r="O11" s="51"/>
      <c r="P11" s="4"/>
      <c r="Q11" s="3"/>
      <c r="T11" s="3"/>
      <c r="U11" s="3"/>
    </row>
    <row r="12" spans="1:22" ht="15.75" x14ac:dyDescent="0.5">
      <c r="A12" s="3"/>
      <c r="B12" s="11" t="s">
        <v>45</v>
      </c>
      <c r="C12" s="3">
        <v>2561000</v>
      </c>
      <c r="D12" s="3"/>
      <c r="E12" s="11"/>
      <c r="F12" s="11"/>
      <c r="I12" s="261" t="s">
        <v>253</v>
      </c>
      <c r="J12" s="261" t="s">
        <v>178</v>
      </c>
      <c r="K12" s="49" t="e">
        <f>#REF!</f>
        <v>#REF!</v>
      </c>
      <c r="L12" s="49" t="e">
        <f>#REF!</f>
        <v>#REF!</v>
      </c>
      <c r="M12" s="33" t="e">
        <f>#REF!</f>
        <v>#REF!</v>
      </c>
      <c r="N12" s="33">
        <v>1975</v>
      </c>
      <c r="O12" s="51"/>
      <c r="P12" s="4"/>
      <c r="Q12" s="3">
        <f t="shared" si="0"/>
        <v>0</v>
      </c>
      <c r="R12" s="21"/>
      <c r="S12" s="37"/>
      <c r="T12" s="32" t="s">
        <v>135</v>
      </c>
      <c r="U12" s="32"/>
      <c r="V12" s="32">
        <f>0.3*V9</f>
        <v>1200</v>
      </c>
    </row>
    <row r="13" spans="1:22" ht="17.649999999999999" x14ac:dyDescent="0.75">
      <c r="A13" s="3"/>
      <c r="B13" s="11" t="s">
        <v>46</v>
      </c>
      <c r="C13" s="4">
        <v>100000</v>
      </c>
      <c r="D13" s="3"/>
      <c r="E13" s="11"/>
      <c r="F13" s="11"/>
      <c r="I13" s="261" t="s">
        <v>254</v>
      </c>
      <c r="J13" s="261" t="s">
        <v>178</v>
      </c>
      <c r="K13" s="49" t="e">
        <f>#REF!</f>
        <v>#REF!</v>
      </c>
      <c r="L13" s="49" t="e">
        <f>#REF!</f>
        <v>#REF!</v>
      </c>
      <c r="M13" s="33" t="e">
        <f>#REF!</f>
        <v>#REF!</v>
      </c>
      <c r="N13" s="33"/>
      <c r="O13" s="51"/>
      <c r="P13" s="4"/>
      <c r="Q13" s="3">
        <f t="shared" si="0"/>
        <v>0</v>
      </c>
      <c r="S13" s="55"/>
      <c r="T13" s="32" t="s">
        <v>136</v>
      </c>
      <c r="U13" s="32"/>
      <c r="V13" s="85">
        <f>0.7*V9</f>
        <v>2800</v>
      </c>
    </row>
    <row r="14" spans="1:22" ht="17.649999999999999" x14ac:dyDescent="0.75">
      <c r="A14" s="3"/>
      <c r="B14" s="11" t="s">
        <v>245</v>
      </c>
      <c r="C14" s="56">
        <v>54568000</v>
      </c>
      <c r="D14" s="3"/>
      <c r="E14" s="11"/>
      <c r="F14" s="11"/>
      <c r="I14" s="261" t="s">
        <v>255</v>
      </c>
      <c r="J14" s="261" t="s">
        <v>178</v>
      </c>
      <c r="K14" s="49" t="e">
        <f>#REF!</f>
        <v>#REF!</v>
      </c>
      <c r="L14" s="49" t="e">
        <f>#REF!</f>
        <v>#REF!</v>
      </c>
      <c r="M14" s="33" t="e">
        <f>#REF!</f>
        <v>#REF!</v>
      </c>
      <c r="N14" s="33">
        <v>2350</v>
      </c>
      <c r="O14" s="51"/>
      <c r="P14" s="4"/>
      <c r="Q14" s="3"/>
      <c r="R14" s="21"/>
      <c r="T14" s="47"/>
      <c r="U14" s="45"/>
      <c r="V14" s="21">
        <f>V12+V13</f>
        <v>4000</v>
      </c>
    </row>
    <row r="15" spans="1:22" ht="17.649999999999999" x14ac:dyDescent="0.75">
      <c r="A15" s="3"/>
      <c r="B15" s="11"/>
      <c r="C15" s="56"/>
      <c r="D15" s="3"/>
      <c r="E15" s="11"/>
      <c r="F15" s="11"/>
      <c r="I15" s="261" t="s">
        <v>256</v>
      </c>
      <c r="J15" s="261" t="s">
        <v>257</v>
      </c>
      <c r="K15" s="49" t="e">
        <f>#REF!</f>
        <v>#REF!</v>
      </c>
      <c r="L15" s="49" t="e">
        <f>#REF!</f>
        <v>#REF!</v>
      </c>
      <c r="M15" s="33" t="e">
        <f>#REF!</f>
        <v>#REF!</v>
      </c>
      <c r="N15" s="33">
        <v>0</v>
      </c>
      <c r="O15" s="51"/>
      <c r="P15" s="4"/>
      <c r="Q15" s="3"/>
      <c r="R15" s="21"/>
      <c r="T15" s="47"/>
      <c r="U15" s="45"/>
      <c r="V15" s="21"/>
    </row>
    <row r="16" spans="1:22" ht="17.649999999999999" x14ac:dyDescent="0.75">
      <c r="A16" s="3"/>
      <c r="B16" s="11"/>
      <c r="C16" s="56"/>
      <c r="D16" s="3"/>
      <c r="E16" s="11"/>
      <c r="F16" s="11"/>
      <c r="I16" s="261" t="s">
        <v>258</v>
      </c>
      <c r="J16" s="261" t="s">
        <v>178</v>
      </c>
      <c r="K16" s="49" t="e">
        <f>#REF!</f>
        <v>#REF!</v>
      </c>
      <c r="L16" s="49" t="e">
        <f>#REF!</f>
        <v>#REF!</v>
      </c>
      <c r="M16" s="33" t="e">
        <f>#REF!</f>
        <v>#REF!</v>
      </c>
      <c r="N16" s="51">
        <v>725</v>
      </c>
      <c r="O16" s="51"/>
      <c r="P16" s="4"/>
      <c r="Q16" s="3"/>
      <c r="R16" s="21"/>
      <c r="T16" s="47"/>
      <c r="U16" s="45"/>
      <c r="V16" s="21"/>
    </row>
    <row r="17" spans="1:23" ht="17.649999999999999" x14ac:dyDescent="0.75">
      <c r="A17" s="3"/>
      <c r="B17" s="11"/>
      <c r="C17" s="56"/>
      <c r="D17" s="3"/>
      <c r="E17" s="11"/>
      <c r="F17" s="11"/>
      <c r="I17" s="261" t="s">
        <v>259</v>
      </c>
      <c r="J17" s="261" t="s">
        <v>178</v>
      </c>
      <c r="K17" s="49" t="e">
        <f>#REF!</f>
        <v>#REF!</v>
      </c>
      <c r="L17" s="49" t="e">
        <f>#REF!</f>
        <v>#REF!</v>
      </c>
      <c r="M17" s="33" t="e">
        <f>#REF!</f>
        <v>#REF!</v>
      </c>
      <c r="O17" s="51"/>
      <c r="P17" s="4"/>
      <c r="Q17" s="3"/>
      <c r="R17" s="21"/>
      <c r="T17" s="47"/>
      <c r="U17" s="45"/>
      <c r="V17" s="21"/>
    </row>
    <row r="18" spans="1:23" ht="17.649999999999999" x14ac:dyDescent="0.75">
      <c r="A18" s="3"/>
      <c r="B18" s="11"/>
      <c r="C18" s="56"/>
      <c r="D18" s="3"/>
      <c r="E18" s="11"/>
      <c r="F18" s="11"/>
      <c r="I18" s="261" t="s">
        <v>260</v>
      </c>
      <c r="J18" s="261" t="s">
        <v>178</v>
      </c>
      <c r="K18" s="49" t="e">
        <f>#REF!</f>
        <v>#REF!</v>
      </c>
      <c r="L18" s="49" t="e">
        <f>#REF!</f>
        <v>#REF!</v>
      </c>
      <c r="M18" s="33" t="e">
        <f>#REF!</f>
        <v>#REF!</v>
      </c>
      <c r="N18" s="33">
        <v>3000</v>
      </c>
      <c r="O18" s="51"/>
      <c r="P18" s="4"/>
      <c r="Q18" s="3"/>
      <c r="R18" s="21"/>
      <c r="T18" s="47"/>
      <c r="U18" s="45"/>
      <c r="V18" s="21"/>
    </row>
    <row r="19" spans="1:23" ht="15.75" x14ac:dyDescent="0.5">
      <c r="A19" s="3"/>
      <c r="B19" s="11"/>
      <c r="C19" s="3"/>
      <c r="D19" s="3">
        <f>SUM(C11:C14)</f>
        <v>57649000</v>
      </c>
      <c r="E19" s="19">
        <f>D19/D4</f>
        <v>0.17522439141522367</v>
      </c>
      <c r="F19" s="11" t="s">
        <v>47</v>
      </c>
      <c r="I19" s="261" t="s">
        <v>261</v>
      </c>
      <c r="J19" s="261" t="s">
        <v>257</v>
      </c>
      <c r="K19" s="49" t="e">
        <f>#REF!</f>
        <v>#REF!</v>
      </c>
      <c r="L19" s="49" t="e">
        <f>#REF!</f>
        <v>#REF!</v>
      </c>
      <c r="M19" s="33" t="e">
        <f>#REF!</f>
        <v>#REF!</v>
      </c>
      <c r="N19" s="33"/>
      <c r="O19" s="51"/>
      <c r="P19" s="4"/>
      <c r="Q19" s="3"/>
      <c r="R19" s="38"/>
      <c r="T19" s="47"/>
      <c r="U19" s="45"/>
      <c r="V19" s="21"/>
    </row>
    <row r="20" spans="1:23" x14ac:dyDescent="0.45">
      <c r="A20" s="3"/>
      <c r="B20" s="5" t="s">
        <v>48</v>
      </c>
      <c r="C20" s="3">
        <f>SUM(D5:D19)</f>
        <v>329001000</v>
      </c>
      <c r="D20" s="3"/>
      <c r="E20" s="27">
        <v>0.15</v>
      </c>
      <c r="F20" s="11" t="s">
        <v>49</v>
      </c>
      <c r="I20" s="3"/>
      <c r="J20" s="80"/>
      <c r="K20" s="51"/>
      <c r="L20" s="51"/>
      <c r="M20" s="51"/>
      <c r="N20" s="25">
        <f>SUM(N7:N19)</f>
        <v>11236.66</v>
      </c>
      <c r="O20" s="4"/>
      <c r="P20" s="4"/>
      <c r="Q20" s="3"/>
      <c r="S20" s="1" t="s">
        <v>205</v>
      </c>
      <c r="T20" s="47"/>
      <c r="U20" s="45"/>
      <c r="V20" s="21">
        <v>1352</v>
      </c>
    </row>
    <row r="21" spans="1:23" ht="16.5" x14ac:dyDescent="0.75">
      <c r="A21" s="3"/>
      <c r="B21" s="20"/>
      <c r="C21" s="11"/>
      <c r="D21" s="11"/>
      <c r="E21" s="44">
        <f>E19-E20</f>
        <v>2.5224391415223674E-2</v>
      </c>
      <c r="F21" s="22" t="s">
        <v>189</v>
      </c>
      <c r="I21" s="3"/>
      <c r="J21" s="80"/>
      <c r="K21" s="51"/>
      <c r="L21" s="51"/>
      <c r="M21" s="51"/>
      <c r="N21" s="51"/>
      <c r="O21" s="4"/>
      <c r="P21" s="4"/>
      <c r="Q21" s="24"/>
      <c r="V21" s="1">
        <v>12</v>
      </c>
    </row>
    <row r="22" spans="1:23" x14ac:dyDescent="0.45">
      <c r="A22" s="3"/>
      <c r="I22" s="3"/>
      <c r="J22" s="3"/>
      <c r="K22" s="3"/>
      <c r="L22" s="3"/>
      <c r="M22" s="33"/>
      <c r="N22" s="33">
        <v>0</v>
      </c>
      <c r="O22" s="3"/>
      <c r="P22" s="3"/>
      <c r="Q22" s="38">
        <f>SUM(Q7:Q21)</f>
        <v>0</v>
      </c>
    </row>
    <row r="23" spans="1:23" x14ac:dyDescent="0.45">
      <c r="A23" s="3"/>
      <c r="E23" s="2" t="s">
        <v>192</v>
      </c>
      <c r="F23" s="2" t="s">
        <v>192</v>
      </c>
      <c r="G23" s="2"/>
      <c r="I23" s="3"/>
      <c r="J23" s="3"/>
      <c r="K23" s="3"/>
      <c r="L23" s="3"/>
      <c r="Q23" s="39"/>
      <c r="V23" s="21">
        <f>V20*V21</f>
        <v>16224</v>
      </c>
    </row>
    <row r="24" spans="1:23" x14ac:dyDescent="0.45">
      <c r="A24" s="3"/>
      <c r="E24" s="6" t="s">
        <v>193</v>
      </c>
      <c r="F24" s="6" t="s">
        <v>194</v>
      </c>
      <c r="G24" s="6" t="s">
        <v>57</v>
      </c>
      <c r="I24" s="50"/>
      <c r="J24" s="3"/>
      <c r="K24" s="3"/>
      <c r="L24" s="3"/>
      <c r="Q24" s="39" t="s">
        <v>20</v>
      </c>
      <c r="V24" s="21">
        <v>-2835</v>
      </c>
    </row>
    <row r="25" spans="1:23" x14ac:dyDescent="0.45">
      <c r="A25" s="3"/>
      <c r="B25" s="1" t="s">
        <v>190</v>
      </c>
      <c r="E25" s="8">
        <f>'SAO - DSC'!F24</f>
        <v>154303</v>
      </c>
      <c r="F25" s="8">
        <f>'SAO - DSC'!F25</f>
        <v>88875</v>
      </c>
      <c r="G25" s="8">
        <f>SUM(E25:F25)</f>
        <v>243178</v>
      </c>
      <c r="I25" s="50"/>
      <c r="J25" s="3"/>
      <c r="K25" s="3"/>
      <c r="L25" s="3"/>
      <c r="Q25" s="39"/>
    </row>
    <row r="26" spans="1:23" x14ac:dyDescent="0.45">
      <c r="A26" s="3"/>
      <c r="B26" s="1" t="s">
        <v>191</v>
      </c>
      <c r="E26" s="140">
        <f>-E21</f>
        <v>-2.5224391415223674E-2</v>
      </c>
      <c r="F26" s="140">
        <f>-E21</f>
        <v>-2.5224391415223674E-2</v>
      </c>
      <c r="G26" s="140">
        <f>-E21</f>
        <v>-2.5224391415223674E-2</v>
      </c>
      <c r="I26" s="50"/>
      <c r="J26" s="3"/>
      <c r="K26" s="3"/>
      <c r="L26" s="3"/>
      <c r="Q26" s="39"/>
    </row>
    <row r="27" spans="1:23" ht="14.65" thickBot="1" x14ac:dyDescent="0.5">
      <c r="A27" s="3"/>
      <c r="B27" s="22" t="s">
        <v>189</v>
      </c>
      <c r="E27" s="141">
        <f>ROUND(E25*E26,0)</f>
        <v>-3892</v>
      </c>
      <c r="F27" s="141">
        <f>ROUND(F25*F26,0)</f>
        <v>-2242</v>
      </c>
      <c r="G27" s="141">
        <f>ROUND(G25*G26,0)</f>
        <v>-6134</v>
      </c>
      <c r="I27" s="50"/>
      <c r="J27" s="3"/>
      <c r="K27" s="3"/>
      <c r="L27" s="3"/>
      <c r="Q27" s="39"/>
    </row>
    <row r="28" spans="1:23" ht="14.65" thickTop="1" x14ac:dyDescent="0.45">
      <c r="A28" s="3"/>
      <c r="B28" s="48" t="s">
        <v>140</v>
      </c>
      <c r="C28" s="18"/>
      <c r="D28" s="18"/>
      <c r="E28" s="9"/>
      <c r="H28" s="48" t="s">
        <v>103</v>
      </c>
      <c r="I28" s="50"/>
      <c r="J28" s="3"/>
      <c r="K28" s="3"/>
      <c r="L28" s="3"/>
      <c r="Q28" s="39"/>
    </row>
    <row r="29" spans="1:23" ht="16.5" x14ac:dyDescent="0.75">
      <c r="A29" s="3"/>
      <c r="C29" s="36" t="s">
        <v>145</v>
      </c>
      <c r="D29" s="36" t="s">
        <v>72</v>
      </c>
      <c r="E29" s="36" t="s">
        <v>73</v>
      </c>
      <c r="F29" s="36" t="s">
        <v>54</v>
      </c>
      <c r="H29" s="94" t="s">
        <v>161</v>
      </c>
      <c r="I29" s="3"/>
      <c r="J29" s="3"/>
      <c r="K29" s="3"/>
      <c r="L29" s="3"/>
      <c r="M29" s="1" t="s">
        <v>83</v>
      </c>
      <c r="Q29" s="38">
        <f>Q22</f>
        <v>0</v>
      </c>
    </row>
    <row r="30" spans="1:23" ht="17.649999999999999" x14ac:dyDescent="0.75">
      <c r="A30" s="3"/>
      <c r="C30" s="36" t="s">
        <v>73</v>
      </c>
      <c r="D30" s="36" t="s">
        <v>141</v>
      </c>
      <c r="E30" s="36" t="s">
        <v>74</v>
      </c>
      <c r="F30" s="36" t="s">
        <v>71</v>
      </c>
      <c r="H30" s="15">
        <v>7872</v>
      </c>
      <c r="I30" s="12" t="s">
        <v>163</v>
      </c>
      <c r="K30" s="3"/>
      <c r="L30" s="3"/>
      <c r="M30" s="1" t="s">
        <v>95</v>
      </c>
      <c r="Q30" s="24">
        <f>-'SAO - DSC'!F19</f>
        <v>-430015</v>
      </c>
      <c r="R30" s="57"/>
      <c r="S30" s="48" t="s">
        <v>104</v>
      </c>
      <c r="T30" s="14"/>
      <c r="U30" s="14"/>
    </row>
    <row r="31" spans="1:23" ht="16.899999999999999" thickBot="1" x14ac:dyDescent="0.8">
      <c r="A31" s="3"/>
      <c r="B31" s="89" t="s">
        <v>144</v>
      </c>
      <c r="C31" s="49"/>
      <c r="D31" s="49"/>
      <c r="E31" s="49"/>
      <c r="F31" s="49"/>
      <c r="H31" s="15">
        <v>15715</v>
      </c>
      <c r="I31" s="12" t="s">
        <v>101</v>
      </c>
      <c r="K31" s="3"/>
      <c r="L31" s="3"/>
      <c r="M31" s="40" t="s">
        <v>96</v>
      </c>
      <c r="N31" s="40"/>
      <c r="O31" s="40"/>
      <c r="P31" s="40"/>
      <c r="Q31" s="41">
        <f>Q29+Q30</f>
        <v>-430015</v>
      </c>
      <c r="S31" s="1" t="s">
        <v>206</v>
      </c>
    </row>
    <row r="32" spans="1:23" ht="16.899999999999999" thickTop="1" x14ac:dyDescent="0.75">
      <c r="B32" s="11" t="s">
        <v>142</v>
      </c>
      <c r="C32" s="18">
        <v>661.54</v>
      </c>
      <c r="D32" s="86">
        <v>0.21</v>
      </c>
      <c r="E32" s="18">
        <f>C32*D32</f>
        <v>138.92339999999999</v>
      </c>
      <c r="F32" s="18">
        <f>C32-E32</f>
        <v>522.61659999999995</v>
      </c>
      <c r="H32" s="95" t="s">
        <v>184</v>
      </c>
      <c r="I32" s="96" t="s">
        <v>162</v>
      </c>
      <c r="K32" s="3"/>
      <c r="L32" s="3"/>
      <c r="Q32" s="1" t="s">
        <v>84</v>
      </c>
      <c r="U32" s="52" t="s">
        <v>130</v>
      </c>
      <c r="V32" s="52" t="s">
        <v>131</v>
      </c>
      <c r="W32" s="52" t="s">
        <v>132</v>
      </c>
    </row>
    <row r="33" spans="2:23" ht="16.5" x14ac:dyDescent="0.45">
      <c r="B33" s="11" t="s">
        <v>1</v>
      </c>
      <c r="C33" s="18">
        <v>6.3</v>
      </c>
      <c r="D33" s="86">
        <v>0</v>
      </c>
      <c r="E33" s="18">
        <f>C33*D33</f>
        <v>0</v>
      </c>
      <c r="F33" s="18">
        <f>C33-E33</f>
        <v>6.3</v>
      </c>
      <c r="H33" s="97" t="s">
        <v>184</v>
      </c>
      <c r="I33" s="96" t="s">
        <v>164</v>
      </c>
      <c r="K33" s="3"/>
      <c r="L33" s="3"/>
      <c r="M33" s="1" t="s">
        <v>158</v>
      </c>
      <c r="Q33" s="26">
        <f>Q29+'SAO - DSC'!L20</f>
        <v>18000</v>
      </c>
      <c r="U33" s="3">
        <f>WatPurch!B16</f>
        <v>350798000</v>
      </c>
      <c r="V33" s="149">
        <v>3.3999999999999998E-3</v>
      </c>
      <c r="W33" s="82">
        <f>ROUND(V33*U33,0)</f>
        <v>1192713</v>
      </c>
    </row>
    <row r="34" spans="2:23" ht="15.75" x14ac:dyDescent="0.45">
      <c r="B34" s="11" t="s">
        <v>70</v>
      </c>
      <c r="C34" s="18">
        <v>17.75</v>
      </c>
      <c r="D34" s="86">
        <v>0.6</v>
      </c>
      <c r="E34" s="18">
        <f>C34*D34</f>
        <v>10.65</v>
      </c>
      <c r="F34" s="18">
        <f>C34-E34</f>
        <v>7.1</v>
      </c>
      <c r="H34" s="15">
        <f>SUM(H30:H33)</f>
        <v>23587</v>
      </c>
      <c r="I34" s="12" t="s">
        <v>102</v>
      </c>
      <c r="K34" s="3"/>
      <c r="L34" s="3"/>
      <c r="M34" s="1" t="s">
        <v>85</v>
      </c>
      <c r="Q34" s="43">
        <v>7.6499999999999999E-2</v>
      </c>
      <c r="U34" s="33"/>
      <c r="V34" s="81"/>
      <c r="W34" s="82">
        <f>ROUND(V34*U34,0)</f>
        <v>0</v>
      </c>
    </row>
    <row r="35" spans="2:23" ht="16.5" x14ac:dyDescent="0.75">
      <c r="B35" s="11" t="s">
        <v>143</v>
      </c>
      <c r="C35" s="18">
        <v>0</v>
      </c>
      <c r="D35" s="86">
        <v>0</v>
      </c>
      <c r="E35" s="18">
        <f>C35*D35</f>
        <v>0</v>
      </c>
      <c r="F35" s="87">
        <f>C35-E35</f>
        <v>0</v>
      </c>
      <c r="M35" s="1" t="s">
        <v>86</v>
      </c>
      <c r="Q35" s="3">
        <f>+Q33*Q34</f>
        <v>1377</v>
      </c>
      <c r="U35" s="34"/>
      <c r="V35" s="81"/>
      <c r="W35" s="83">
        <f>ROUND(V35*U35,0)</f>
        <v>0</v>
      </c>
    </row>
    <row r="36" spans="2:23" x14ac:dyDescent="0.45">
      <c r="B36" s="11"/>
      <c r="C36" s="18">
        <f>SUM(C32:C35)</f>
        <v>685.58999999999992</v>
      </c>
      <c r="D36" s="86"/>
      <c r="E36" s="18"/>
      <c r="F36" s="18">
        <f>SUM(F32:F35)</f>
        <v>536.01659999999993</v>
      </c>
      <c r="G36" s="3"/>
      <c r="H36" s="109">
        <f>D42</f>
        <v>-7872</v>
      </c>
      <c r="I36" s="110" t="s">
        <v>165</v>
      </c>
      <c r="M36" s="1" t="s">
        <v>87</v>
      </c>
      <c r="Q36" s="42">
        <f>-'SAO - DSC'!F19*Adj!Q34</f>
        <v>-32896.147499999999</v>
      </c>
      <c r="R36" s="38"/>
      <c r="U36" s="25">
        <f>SUM(U33:U35)</f>
        <v>350798000</v>
      </c>
      <c r="W36" s="3">
        <f>SUM(W33:W35)</f>
        <v>1192713</v>
      </c>
    </row>
    <row r="37" spans="2:23" ht="16.899999999999999" thickBot="1" x14ac:dyDescent="0.8">
      <c r="B37" s="11"/>
      <c r="C37" s="18"/>
      <c r="D37" s="90" t="s">
        <v>146</v>
      </c>
      <c r="E37" s="9">
        <v>1</v>
      </c>
      <c r="F37" s="18">
        <f>F36*E37</f>
        <v>536.01659999999993</v>
      </c>
      <c r="G37" s="3"/>
      <c r="H37" s="28">
        <f>D41</f>
        <v>6432</v>
      </c>
      <c r="I37" s="3" t="s">
        <v>166</v>
      </c>
      <c r="M37" s="40" t="s">
        <v>88</v>
      </c>
      <c r="N37" s="40"/>
      <c r="O37" s="40"/>
      <c r="P37" s="40"/>
      <c r="Q37" s="41">
        <f>+Q35+Q36</f>
        <v>-31519.147499999999</v>
      </c>
      <c r="V37" s="7" t="s">
        <v>133</v>
      </c>
      <c r="W37" s="24">
        <f>-'SAO - DSC'!F24</f>
        <v>-154303</v>
      </c>
    </row>
    <row r="38" spans="2:23" ht="17.25" thickTop="1" thickBot="1" x14ac:dyDescent="0.8">
      <c r="B38" s="89"/>
      <c r="C38" s="49"/>
      <c r="D38" s="49"/>
      <c r="E38" s="49"/>
      <c r="F38" s="49"/>
      <c r="H38" s="134">
        <f>SUM(H36:H37)</f>
        <v>-1440</v>
      </c>
      <c r="I38" s="46" t="s">
        <v>140</v>
      </c>
      <c r="V38" s="84" t="s">
        <v>134</v>
      </c>
      <c r="W38" s="98">
        <f>(W36+W37)</f>
        <v>1038410</v>
      </c>
    </row>
    <row r="39" spans="2:23" ht="14.65" thickTop="1" x14ac:dyDescent="0.45">
      <c r="B39" s="11"/>
      <c r="C39" s="18"/>
      <c r="D39" s="86"/>
      <c r="E39" s="18"/>
      <c r="F39" s="18"/>
      <c r="H39" s="3"/>
      <c r="I39" s="3"/>
      <c r="J39" s="57" t="s">
        <v>173</v>
      </c>
      <c r="K39" s="3"/>
      <c r="L39" s="3"/>
      <c r="M39" s="1" t="s">
        <v>93</v>
      </c>
      <c r="Q39" s="26">
        <f>H42</f>
        <v>0</v>
      </c>
    </row>
    <row r="40" spans="2:23" x14ac:dyDescent="0.45">
      <c r="C40" s="88" t="s">
        <v>147</v>
      </c>
      <c r="D40" s="9">
        <f>ROUND(F37+F44,0)</f>
        <v>536</v>
      </c>
      <c r="E40" s="18"/>
      <c r="F40" s="18"/>
      <c r="H40" s="3">
        <f>Q7</f>
        <v>0</v>
      </c>
      <c r="I40" s="3" t="s">
        <v>207</v>
      </c>
      <c r="J40" s="50"/>
      <c r="K40" s="3"/>
      <c r="L40" s="3"/>
      <c r="M40" s="1" t="s">
        <v>92</v>
      </c>
      <c r="Q40" s="43">
        <v>0.2334</v>
      </c>
      <c r="S40" s="1" t="s">
        <v>214</v>
      </c>
    </row>
    <row r="41" spans="2:23" ht="16.5" x14ac:dyDescent="0.75">
      <c r="C41" s="88" t="s">
        <v>75</v>
      </c>
      <c r="D41" s="9">
        <f>D40*12</f>
        <v>6432</v>
      </c>
      <c r="E41" s="18"/>
      <c r="F41" s="18"/>
      <c r="H41" s="151">
        <f>Q10</f>
        <v>0</v>
      </c>
      <c r="I41" s="3" t="s">
        <v>175</v>
      </c>
      <c r="J41" s="3"/>
      <c r="K41" s="3"/>
      <c r="L41" s="3"/>
      <c r="M41" s="1" t="s">
        <v>89</v>
      </c>
      <c r="Q41" s="3">
        <f>+Q39*Q40</f>
        <v>0</v>
      </c>
      <c r="U41" s="52" t="s">
        <v>130</v>
      </c>
      <c r="V41" s="52" t="s">
        <v>131</v>
      </c>
      <c r="W41" s="52" t="s">
        <v>132</v>
      </c>
    </row>
    <row r="42" spans="2:23" ht="16.5" x14ac:dyDescent="0.75">
      <c r="C42" s="88" t="s">
        <v>76</v>
      </c>
      <c r="D42" s="73">
        <v>-7872</v>
      </c>
      <c r="E42" s="18"/>
      <c r="F42" s="87"/>
      <c r="H42" s="3">
        <f>SUM(H40:H41)</f>
        <v>0</v>
      </c>
      <c r="I42" s="1" t="s">
        <v>93</v>
      </c>
      <c r="J42" s="3"/>
      <c r="K42" s="3"/>
      <c r="L42" s="3"/>
      <c r="M42" s="1" t="s">
        <v>90</v>
      </c>
      <c r="Q42" s="93">
        <f>-H31</f>
        <v>-15715</v>
      </c>
      <c r="U42" s="3">
        <f>U33</f>
        <v>350798000</v>
      </c>
      <c r="V42" s="149">
        <v>3.6700000000000001E-3</v>
      </c>
      <c r="W42" s="82">
        <f>ROUND(V42*U42,0)</f>
        <v>1287429</v>
      </c>
    </row>
    <row r="43" spans="2:23" ht="14.65" thickBot="1" x14ac:dyDescent="0.5">
      <c r="B43" s="47"/>
      <c r="C43" s="54" t="s">
        <v>77</v>
      </c>
      <c r="D43" s="32">
        <f>D41+D42</f>
        <v>-1440</v>
      </c>
      <c r="F43" s="25"/>
      <c r="H43" s="43">
        <v>0.2334</v>
      </c>
      <c r="I43" s="1" t="s">
        <v>182</v>
      </c>
      <c r="J43" s="3"/>
      <c r="K43" s="3"/>
      <c r="L43" s="3"/>
      <c r="M43" s="40" t="s">
        <v>91</v>
      </c>
      <c r="N43" s="40"/>
      <c r="O43" s="40"/>
      <c r="P43" s="40"/>
      <c r="Q43" s="41">
        <f>+Q41+Q42</f>
        <v>-15715</v>
      </c>
      <c r="U43" s="33"/>
      <c r="V43" s="81"/>
      <c r="W43" s="82">
        <f>ROUND(V43*U43,0)</f>
        <v>0</v>
      </c>
    </row>
    <row r="44" spans="2:23" ht="16.899999999999999" thickTop="1" x14ac:dyDescent="0.75">
      <c r="B44" s="11"/>
      <c r="C44" s="18"/>
      <c r="D44" s="90"/>
      <c r="E44" s="9"/>
      <c r="F44" s="18"/>
      <c r="G44" s="3"/>
      <c r="H44" s="21">
        <f>ROUND(H42*H43,0)</f>
        <v>0</v>
      </c>
      <c r="I44" s="1" t="s">
        <v>183</v>
      </c>
      <c r="P44" s="3"/>
      <c r="Q44" s="3"/>
      <c r="R44" s="3"/>
      <c r="U44" s="34"/>
      <c r="V44" s="81"/>
      <c r="W44" s="83">
        <f>ROUND(V44*U44,0)</f>
        <v>0</v>
      </c>
    </row>
    <row r="45" spans="2:23" ht="16.5" x14ac:dyDescent="0.75">
      <c r="B45" s="11"/>
      <c r="C45" s="18"/>
      <c r="D45" s="86"/>
      <c r="E45" s="18"/>
      <c r="F45" s="87"/>
      <c r="G45" s="3"/>
      <c r="H45" s="93">
        <f>-H31</f>
        <v>-15715</v>
      </c>
      <c r="I45" s="1" t="s">
        <v>185</v>
      </c>
      <c r="P45" s="3"/>
      <c r="Q45" s="3"/>
      <c r="R45" s="3"/>
      <c r="U45" s="25">
        <f>SUM(U42:U44)</f>
        <v>350798000</v>
      </c>
      <c r="W45" s="3">
        <f>SUM(W42:W44)</f>
        <v>1287429</v>
      </c>
    </row>
    <row r="46" spans="2:23" ht="18" thickBot="1" x14ac:dyDescent="0.8">
      <c r="B46" s="11"/>
      <c r="C46" s="18"/>
      <c r="G46" s="3"/>
      <c r="H46" s="135">
        <f>SUM(H44:H45)</f>
        <v>-15715</v>
      </c>
      <c r="I46" s="1" t="s">
        <v>186</v>
      </c>
      <c r="O46" s="14"/>
      <c r="P46" s="14"/>
      <c r="Q46" s="14"/>
      <c r="R46" s="14"/>
      <c r="V46" s="7" t="s">
        <v>133</v>
      </c>
      <c r="W46" s="24">
        <f>-W36</f>
        <v>-1192713</v>
      </c>
    </row>
    <row r="47" spans="2:23" ht="16.149999999999999" thickTop="1" x14ac:dyDescent="0.5">
      <c r="O47" s="14"/>
      <c r="P47" s="14"/>
      <c r="Q47" s="14"/>
      <c r="R47" s="14"/>
      <c r="V47" s="84" t="s">
        <v>134</v>
      </c>
      <c r="W47" s="98">
        <f>(W45+W46)</f>
        <v>94716</v>
      </c>
    </row>
    <row r="48" spans="2:23" ht="15.75" x14ac:dyDescent="0.5">
      <c r="M48" s="33"/>
      <c r="N48" s="33"/>
      <c r="O48" s="14"/>
      <c r="P48" s="14"/>
      <c r="Q48" s="14"/>
      <c r="R48" s="14"/>
    </row>
    <row r="49" spans="2:18" ht="15.75" x14ac:dyDescent="0.5">
      <c r="M49" s="33"/>
      <c r="N49" s="33"/>
      <c r="O49" s="14"/>
      <c r="P49" s="14"/>
      <c r="Q49" s="14"/>
      <c r="R49" s="14"/>
    </row>
    <row r="50" spans="2:18" ht="15.75" x14ac:dyDescent="0.5">
      <c r="M50" s="33"/>
      <c r="N50" s="33"/>
      <c r="O50" s="14"/>
      <c r="P50" s="14"/>
      <c r="Q50" s="14"/>
      <c r="R50" s="14"/>
    </row>
    <row r="51" spans="2:18" ht="15.75" x14ac:dyDescent="0.5">
      <c r="M51" s="33"/>
      <c r="N51" s="33"/>
      <c r="O51" s="14"/>
      <c r="P51" s="14"/>
      <c r="Q51" s="14"/>
      <c r="R51" s="14"/>
    </row>
    <row r="52" spans="2:18" ht="15.75" x14ac:dyDescent="0.5">
      <c r="B52" s="11"/>
      <c r="C52" s="33"/>
      <c r="D52" s="33"/>
      <c r="E52" s="33"/>
      <c r="F52" s="33"/>
      <c r="M52" s="33"/>
      <c r="N52" s="33"/>
      <c r="O52" s="14"/>
      <c r="P52" s="14"/>
      <c r="Q52" s="14"/>
      <c r="R52" s="14"/>
    </row>
    <row r="53" spans="2:18" ht="15.75" x14ac:dyDescent="0.5">
      <c r="B53" s="11"/>
      <c r="C53" s="33"/>
      <c r="D53" s="33"/>
      <c r="E53" s="33"/>
      <c r="F53" s="33"/>
      <c r="M53" s="45"/>
      <c r="N53" s="45"/>
      <c r="O53" s="14"/>
      <c r="P53" s="14"/>
      <c r="Q53" s="14"/>
      <c r="R53" s="14"/>
    </row>
    <row r="54" spans="2:18" x14ac:dyDescent="0.45">
      <c r="B54" s="11"/>
      <c r="C54" s="33"/>
      <c r="D54" s="33"/>
      <c r="E54" s="33"/>
      <c r="F54" s="33"/>
      <c r="P54" s="3"/>
      <c r="Q54" s="3"/>
    </row>
    <row r="55" spans="2:18" x14ac:dyDescent="0.45">
      <c r="B55" s="18"/>
      <c r="P55" s="3"/>
      <c r="Q55" s="3"/>
    </row>
    <row r="56" spans="2:18" ht="16.5" x14ac:dyDescent="0.75">
      <c r="E56" s="25"/>
      <c r="F56" s="24"/>
      <c r="P56" s="3"/>
      <c r="Q56" s="3"/>
    </row>
    <row r="57" spans="2:18" x14ac:dyDescent="0.45">
      <c r="J57" s="33"/>
      <c r="P57" s="3"/>
      <c r="Q57" s="3"/>
    </row>
    <row r="58" spans="2:18" x14ac:dyDescent="0.45">
      <c r="P58" s="3"/>
      <c r="Q58" s="3"/>
    </row>
    <row r="59" spans="2:18" x14ac:dyDescent="0.45">
      <c r="P59" s="3"/>
      <c r="Q59" s="3"/>
    </row>
    <row r="60" spans="2:18" x14ac:dyDescent="0.45">
      <c r="P60" s="3"/>
      <c r="Q60" s="3"/>
      <c r="R60" s="3"/>
    </row>
    <row r="61" spans="2:18" x14ac:dyDescent="0.45">
      <c r="P61" s="3"/>
      <c r="Q61" s="3"/>
      <c r="R61" s="3"/>
    </row>
    <row r="62" spans="2:18" x14ac:dyDescent="0.45">
      <c r="R62" s="3"/>
    </row>
    <row r="63" spans="2:18" x14ac:dyDescent="0.45">
      <c r="I63" s="3"/>
      <c r="J63" s="3"/>
      <c r="K63" s="3"/>
      <c r="L63" s="3"/>
      <c r="M63" s="3"/>
      <c r="N63" s="3"/>
    </row>
    <row r="64" spans="2:18" x14ac:dyDescent="0.45">
      <c r="I64" s="3"/>
      <c r="J64" s="3"/>
      <c r="K64" s="3"/>
      <c r="L64" s="3"/>
      <c r="M64" s="3"/>
      <c r="N64" s="3"/>
    </row>
    <row r="65" spans="5:14" x14ac:dyDescent="0.45">
      <c r="I65" s="3"/>
      <c r="J65" s="3"/>
      <c r="K65" s="3"/>
      <c r="L65" s="3"/>
      <c r="M65" s="3"/>
      <c r="N65" s="3"/>
    </row>
    <row r="74" spans="5:14" x14ac:dyDescent="0.45">
      <c r="E74" s="3"/>
      <c r="F74" s="3"/>
    </row>
    <row r="75" spans="5:14" x14ac:dyDescent="0.45">
      <c r="E75" s="3"/>
      <c r="F75" s="3"/>
    </row>
    <row r="76" spans="5:14" x14ac:dyDescent="0.45">
      <c r="E76" s="3"/>
      <c r="F76" s="3"/>
    </row>
    <row r="77" spans="5:14" x14ac:dyDescent="0.45">
      <c r="E77" s="3"/>
      <c r="F77" s="3"/>
    </row>
    <row r="78" spans="5:14" x14ac:dyDescent="0.45">
      <c r="E78" s="3"/>
      <c r="F78" s="3"/>
    </row>
    <row r="79" spans="5:14" x14ac:dyDescent="0.45">
      <c r="E79" s="3"/>
      <c r="F79" s="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1D28-F01E-40A6-A087-612BDC3713B7}">
  <dimension ref="A1:AP117"/>
  <sheetViews>
    <sheetView topLeftCell="X70" workbookViewId="0">
      <selection activeCell="AO90" sqref="AO90"/>
    </sheetView>
  </sheetViews>
  <sheetFormatPr defaultColWidth="6.88671875" defaultRowHeight="13.15" x14ac:dyDescent="0.4"/>
  <cols>
    <col min="1" max="1" width="5.21875" style="453" customWidth="1"/>
    <col min="2" max="2" width="9.5546875" style="453" customWidth="1"/>
    <col min="3" max="3" width="35.6640625" style="454" customWidth="1"/>
    <col min="4" max="4" width="8.33203125" style="454" customWidth="1"/>
    <col min="5" max="5" width="9.88671875" style="455" bestFit="1" customWidth="1"/>
    <col min="6" max="7" width="9.88671875" style="455" customWidth="1"/>
    <col min="8" max="9" width="9.88671875" style="456" bestFit="1" customWidth="1"/>
    <col min="10" max="10" width="8.33203125" style="456" bestFit="1" customWidth="1"/>
    <col min="11" max="11" width="9.109375" style="456" bestFit="1" customWidth="1"/>
    <col min="12" max="12" width="8.21875" style="456" customWidth="1"/>
    <col min="13" max="13" width="9.88671875" style="456" bestFit="1" customWidth="1"/>
    <col min="14" max="14" width="2.5546875" style="456" customWidth="1"/>
    <col min="15" max="15" width="7.44140625" style="456" customWidth="1"/>
    <col min="16" max="16" width="9.33203125" style="456" bestFit="1" customWidth="1"/>
    <col min="17" max="17" width="7.21875" style="456" customWidth="1"/>
    <col min="18" max="18" width="8.109375" style="456" customWidth="1"/>
    <col min="19" max="19" width="7.5546875" style="455" bestFit="1" customWidth="1"/>
    <col min="20" max="20" width="9.88671875" style="455" bestFit="1" customWidth="1"/>
    <col min="21" max="21" width="2.33203125" style="455" customWidth="1"/>
    <col min="22" max="27" width="8.33203125" style="455" customWidth="1"/>
    <col min="28" max="28" width="2.77734375" style="455" customWidth="1"/>
    <col min="29" max="29" width="7.88671875" style="455" bestFit="1" customWidth="1"/>
    <col min="30" max="30" width="9.33203125" style="455" bestFit="1" customWidth="1"/>
    <col min="31" max="31" width="7.5546875" style="455" bestFit="1" customWidth="1"/>
    <col min="32" max="32" width="8.5546875" style="455" bestFit="1" customWidth="1"/>
    <col min="33" max="33" width="7.88671875" style="455" bestFit="1" customWidth="1"/>
    <col min="34" max="34" width="9.88671875" style="455" bestFit="1" customWidth="1"/>
    <col min="35" max="36" width="6.88671875" style="455"/>
    <col min="37" max="37" width="7.109375" style="455" bestFit="1" customWidth="1"/>
    <col min="38" max="38" width="6.88671875" style="455"/>
    <col min="39" max="42" width="12.77734375" style="264" customWidth="1"/>
    <col min="43" max="16384" width="6.88671875" style="455"/>
  </cols>
  <sheetData>
    <row r="1" spans="1:42" ht="17.45" customHeight="1" x14ac:dyDescent="0.4">
      <c r="A1" s="452" t="s">
        <v>275</v>
      </c>
    </row>
    <row r="2" spans="1:42" ht="17.45" customHeight="1" x14ac:dyDescent="0.4">
      <c r="A2" s="454" t="s">
        <v>276</v>
      </c>
    </row>
    <row r="3" spans="1:42" ht="17.45" customHeight="1" x14ac:dyDescent="0.4">
      <c r="A3" s="454" t="s">
        <v>538</v>
      </c>
    </row>
    <row r="5" spans="1:42" ht="17.45" customHeight="1" x14ac:dyDescent="0.4">
      <c r="E5" s="457"/>
      <c r="F5" s="458">
        <v>45334</v>
      </c>
      <c r="G5" s="457" t="s">
        <v>277</v>
      </c>
      <c r="H5" s="609" t="s">
        <v>278</v>
      </c>
      <c r="I5" s="609"/>
      <c r="J5" s="609"/>
      <c r="K5" s="609"/>
      <c r="L5" s="609"/>
      <c r="M5" s="609"/>
      <c r="O5" s="609" t="s">
        <v>279</v>
      </c>
      <c r="P5" s="609"/>
      <c r="Q5" s="609"/>
      <c r="R5" s="609"/>
      <c r="S5" s="609"/>
      <c r="T5" s="609"/>
      <c r="V5" s="609" t="s">
        <v>280</v>
      </c>
      <c r="W5" s="609"/>
      <c r="X5" s="609"/>
      <c r="Y5" s="609"/>
      <c r="Z5" s="609"/>
      <c r="AA5" s="609"/>
      <c r="AC5" s="609" t="s">
        <v>281</v>
      </c>
      <c r="AD5" s="609"/>
      <c r="AE5" s="609"/>
      <c r="AF5" s="609"/>
      <c r="AG5" s="609"/>
      <c r="AH5" s="609"/>
      <c r="AJ5" s="453"/>
      <c r="AK5" s="459" t="s">
        <v>539</v>
      </c>
      <c r="AM5" s="610" t="s">
        <v>651</v>
      </c>
      <c r="AN5" s="610"/>
      <c r="AO5" s="610"/>
      <c r="AP5" s="266" t="s">
        <v>652</v>
      </c>
    </row>
    <row r="6" spans="1:42" ht="17.45" customHeight="1" x14ac:dyDescent="0.4">
      <c r="A6" s="460" t="s">
        <v>282</v>
      </c>
      <c r="B6" s="460" t="s">
        <v>283</v>
      </c>
      <c r="C6" s="461" t="s">
        <v>284</v>
      </c>
      <c r="D6" s="461"/>
      <c r="E6" s="460" t="s">
        <v>285</v>
      </c>
      <c r="F6" s="460" t="s">
        <v>80</v>
      </c>
      <c r="G6" s="462" t="s">
        <v>178</v>
      </c>
      <c r="H6" s="460" t="s">
        <v>286</v>
      </c>
      <c r="I6" s="463" t="s">
        <v>287</v>
      </c>
      <c r="J6" s="460" t="s">
        <v>288</v>
      </c>
      <c r="K6" s="463" t="s">
        <v>289</v>
      </c>
      <c r="L6" s="460" t="s">
        <v>290</v>
      </c>
      <c r="M6" s="463" t="s">
        <v>291</v>
      </c>
      <c r="O6" s="460" t="s">
        <v>286</v>
      </c>
      <c r="P6" s="463" t="s">
        <v>287</v>
      </c>
      <c r="Q6" s="460" t="s">
        <v>288</v>
      </c>
      <c r="R6" s="463" t="s">
        <v>289</v>
      </c>
      <c r="S6" s="460" t="s">
        <v>290</v>
      </c>
      <c r="T6" s="463" t="s">
        <v>291</v>
      </c>
      <c r="U6" s="463"/>
      <c r="V6" s="460" t="s">
        <v>286</v>
      </c>
      <c r="W6" s="463" t="s">
        <v>287</v>
      </c>
      <c r="X6" s="460" t="s">
        <v>288</v>
      </c>
      <c r="Y6" s="463" t="s">
        <v>289</v>
      </c>
      <c r="Z6" s="460" t="s">
        <v>290</v>
      </c>
      <c r="AA6" s="463" t="s">
        <v>291</v>
      </c>
      <c r="AC6" s="460" t="s">
        <v>286</v>
      </c>
      <c r="AD6" s="463" t="s">
        <v>287</v>
      </c>
      <c r="AE6" s="460" t="s">
        <v>288</v>
      </c>
      <c r="AF6" s="463" t="s">
        <v>289</v>
      </c>
      <c r="AG6" s="460" t="s">
        <v>290</v>
      </c>
      <c r="AH6" s="463" t="s">
        <v>291</v>
      </c>
      <c r="AJ6" s="463" t="s">
        <v>540</v>
      </c>
      <c r="AK6" s="463" t="s">
        <v>540</v>
      </c>
      <c r="AM6" s="503" t="s">
        <v>472</v>
      </c>
      <c r="AN6" s="503" t="s">
        <v>653</v>
      </c>
      <c r="AO6" s="503" t="s">
        <v>57</v>
      </c>
      <c r="AP6" s="502" t="s">
        <v>654</v>
      </c>
    </row>
    <row r="7" spans="1:42" ht="17.45" customHeight="1" x14ac:dyDescent="0.4">
      <c r="A7" s="453" t="s">
        <v>319</v>
      </c>
      <c r="B7" s="453">
        <v>70</v>
      </c>
      <c r="C7" s="454" t="s">
        <v>321</v>
      </c>
      <c r="D7" s="454" t="s">
        <v>541</v>
      </c>
      <c r="E7" s="453" t="s">
        <v>293</v>
      </c>
      <c r="F7" s="464">
        <v>36.229999999999997</v>
      </c>
      <c r="G7" s="464" t="s">
        <v>151</v>
      </c>
      <c r="H7" s="465">
        <v>105.79643999999999</v>
      </c>
      <c r="I7" s="456">
        <f>IF($G7="H",ROUND($F7*H7,2),IF($G7="S",ROUND(($F7/80)*H7,2),1))</f>
        <v>3833.01</v>
      </c>
      <c r="J7" s="465">
        <v>6.1985399999999986</v>
      </c>
      <c r="K7" s="456">
        <f>IF($G7="H",ROUND(($F7*1.5)*J7,2),IF($G7="S",ROUND(($F7/80)*J7,2),1))</f>
        <v>336.86</v>
      </c>
      <c r="L7" s="465">
        <f t="shared" ref="L7:M37" si="0">+H7+J7</f>
        <v>111.99497999999998</v>
      </c>
      <c r="M7" s="456">
        <f t="shared" si="0"/>
        <v>4169.87</v>
      </c>
      <c r="O7" s="465">
        <v>73.519559999999998</v>
      </c>
      <c r="P7" s="456">
        <f>IF($G7="H",ROUND($F7*O7,2),IF($G7="S",ROUND(($F7/80)*O7,2),1))</f>
        <v>2663.61</v>
      </c>
      <c r="Q7" s="465">
        <v>4.307459999999999</v>
      </c>
      <c r="R7" s="456">
        <f>IF($G7="H",ROUND(($F7*1.5)*Q7,2),IF($G7="S",ROUND(($F7/80)*Q7,2),1))</f>
        <v>234.09</v>
      </c>
      <c r="S7" s="465">
        <f t="shared" ref="S7:T37" si="1">+O7+Q7</f>
        <v>77.827020000000005</v>
      </c>
      <c r="T7" s="456">
        <f t="shared" si="1"/>
        <v>2897.7000000000003</v>
      </c>
      <c r="U7" s="456"/>
      <c r="V7" s="465">
        <v>0</v>
      </c>
      <c r="W7" s="456">
        <f>IF($G7="H",ROUND($F7*V7,2),IF($G7="S",ROUND(($F7/80)*V7,2),1))</f>
        <v>0</v>
      </c>
      <c r="X7" s="465">
        <v>0</v>
      </c>
      <c r="Y7" s="456">
        <f>IF($G7="H",ROUND(($F7*1.5)*X7,2),IF($G7="S",ROUND(($F7/80)*X7,2),1))</f>
        <v>0</v>
      </c>
      <c r="Z7" s="465">
        <f t="shared" ref="Z7:AA37" si="2">+V7+X7</f>
        <v>0</v>
      </c>
      <c r="AA7" s="456">
        <f t="shared" si="2"/>
        <v>0</v>
      </c>
      <c r="AB7" s="456"/>
      <c r="AC7" s="465">
        <f t="shared" ref="AC7:AF37" si="3">+H7+O7+V7</f>
        <v>179.31599999999997</v>
      </c>
      <c r="AD7" s="456">
        <f t="shared" si="3"/>
        <v>6496.6200000000008</v>
      </c>
      <c r="AE7" s="465">
        <f t="shared" si="3"/>
        <v>10.505999999999997</v>
      </c>
      <c r="AF7" s="456">
        <f t="shared" si="3"/>
        <v>570.95000000000005</v>
      </c>
      <c r="AG7" s="465">
        <f t="shared" ref="AG7:AH37" si="4">+AC7+AE7</f>
        <v>189.82199999999997</v>
      </c>
      <c r="AH7" s="456">
        <f t="shared" si="4"/>
        <v>7067.5700000000006</v>
      </c>
      <c r="AJ7" s="466">
        <v>34.5</v>
      </c>
      <c r="AK7" s="467">
        <v>36.229999999999997</v>
      </c>
      <c r="AM7" s="264">
        <f>H7</f>
        <v>105.79643999999999</v>
      </c>
      <c r="AN7" s="264">
        <f>J7</f>
        <v>6.1985399999999986</v>
      </c>
      <c r="AO7" s="264">
        <f>SUM(AM7:AN7)</f>
        <v>111.99497999999998</v>
      </c>
      <c r="AP7" s="264">
        <v>2080</v>
      </c>
    </row>
    <row r="8" spans="1:42" ht="17.45" customHeight="1" x14ac:dyDescent="0.4">
      <c r="A8" s="453" t="s">
        <v>319</v>
      </c>
      <c r="B8" s="453">
        <v>216</v>
      </c>
      <c r="C8" s="454" t="s">
        <v>542</v>
      </c>
      <c r="D8" s="454" t="s">
        <v>543</v>
      </c>
      <c r="E8" s="453" t="s">
        <v>293</v>
      </c>
      <c r="F8" s="464">
        <v>27.23</v>
      </c>
      <c r="G8" s="464" t="s">
        <v>151</v>
      </c>
      <c r="H8" s="465">
        <v>14.653829999999999</v>
      </c>
      <c r="I8" s="456">
        <f t="shared" ref="I8:I71" si="5">IF($G8="H",ROUND($F8*H8,2),IF($G8="S",ROUND(($F8/80)*H8,2),1))</f>
        <v>399.02</v>
      </c>
      <c r="J8" s="465">
        <v>6.017999999999999E-2</v>
      </c>
      <c r="K8" s="456">
        <f t="shared" ref="K8:K71" si="6">IF($G8="H",ROUND(($F8*1.5)*J8,2),IF($G8="S",ROUND(($F8/80)*J8,2),1))</f>
        <v>2.46</v>
      </c>
      <c r="L8" s="465">
        <f t="shared" si="0"/>
        <v>14.71401</v>
      </c>
      <c r="M8" s="456">
        <f t="shared" si="0"/>
        <v>401.47999999999996</v>
      </c>
      <c r="O8" s="465">
        <v>10.183169999999999</v>
      </c>
      <c r="P8" s="456">
        <f t="shared" ref="P8:P71" si="7">IF($G8="H",ROUND($F8*O8,2),IF($G8="S",ROUND(($F8/80)*O8,2),1))</f>
        <v>277.29000000000002</v>
      </c>
      <c r="Q8" s="465">
        <v>4.1819999999999996E-2</v>
      </c>
      <c r="R8" s="456">
        <f t="shared" ref="R8:R71" si="8">IF($G8="H",ROUND(($F8*1.5)*Q8,2),IF($G8="S",ROUND(($F8/80)*Q8,2),1))</f>
        <v>1.71</v>
      </c>
      <c r="S8" s="465">
        <f t="shared" si="1"/>
        <v>10.224989999999998</v>
      </c>
      <c r="T8" s="456">
        <f t="shared" si="1"/>
        <v>279</v>
      </c>
      <c r="U8" s="456"/>
      <c r="V8" s="465">
        <v>0</v>
      </c>
      <c r="W8" s="456">
        <f t="shared" ref="W8:W71" si="9">IF($G8="H",ROUND($F8*V8,2),IF($G8="S",ROUND(($F8/80)*V8,2),1))</f>
        <v>0</v>
      </c>
      <c r="X8" s="465">
        <v>0</v>
      </c>
      <c r="Y8" s="456">
        <f t="shared" ref="Y8:Y71" si="10">IF($G8="H",ROUND(($F8*1.5)*X8,2),IF($G8="S",ROUND(($F8/80)*X8,2),1))</f>
        <v>0</v>
      </c>
      <c r="Z8" s="465">
        <f t="shared" si="2"/>
        <v>0</v>
      </c>
      <c r="AA8" s="456">
        <f t="shared" si="2"/>
        <v>0</v>
      </c>
      <c r="AB8" s="456"/>
      <c r="AC8" s="465">
        <f t="shared" si="3"/>
        <v>24.836999999999996</v>
      </c>
      <c r="AD8" s="456">
        <f t="shared" si="3"/>
        <v>676.31</v>
      </c>
      <c r="AE8" s="465">
        <f t="shared" si="3"/>
        <v>0.10199999999999998</v>
      </c>
      <c r="AF8" s="456">
        <f t="shared" si="3"/>
        <v>4.17</v>
      </c>
      <c r="AG8" s="465">
        <f t="shared" si="4"/>
        <v>24.938999999999997</v>
      </c>
      <c r="AH8" s="456">
        <f t="shared" si="4"/>
        <v>680.4799999999999</v>
      </c>
      <c r="AJ8" s="466">
        <v>25.93</v>
      </c>
      <c r="AK8" s="467">
        <v>27.23</v>
      </c>
      <c r="AM8" s="264">
        <f t="shared" ref="AM8:AM71" si="11">H8</f>
        <v>14.653829999999999</v>
      </c>
      <c r="AN8" s="264">
        <f t="shared" ref="AN8:AN71" si="12">J8</f>
        <v>6.017999999999999E-2</v>
      </c>
      <c r="AO8" s="264">
        <f t="shared" ref="AO8:AO15" si="13">SUM(AM8:AN8)</f>
        <v>14.71401</v>
      </c>
      <c r="AP8" s="264">
        <v>2080</v>
      </c>
    </row>
    <row r="9" spans="1:42" ht="17.45" customHeight="1" x14ac:dyDescent="0.4">
      <c r="A9" s="453" t="s">
        <v>319</v>
      </c>
      <c r="B9" s="453">
        <v>34</v>
      </c>
      <c r="C9" s="454" t="s">
        <v>320</v>
      </c>
      <c r="D9" s="454" t="s">
        <v>544</v>
      </c>
      <c r="E9" s="453" t="s">
        <v>293</v>
      </c>
      <c r="F9" s="464">
        <v>41.8</v>
      </c>
      <c r="G9" s="464" t="s">
        <v>151</v>
      </c>
      <c r="H9" s="465">
        <v>101.61392999999998</v>
      </c>
      <c r="I9" s="456">
        <f t="shared" si="5"/>
        <v>4247.46</v>
      </c>
      <c r="J9" s="465">
        <v>6.5295299999999994</v>
      </c>
      <c r="K9" s="456">
        <f t="shared" si="6"/>
        <v>409.4</v>
      </c>
      <c r="L9" s="465">
        <f t="shared" si="0"/>
        <v>108.14345999999998</v>
      </c>
      <c r="M9" s="456">
        <f t="shared" si="0"/>
        <v>4656.8599999999997</v>
      </c>
      <c r="O9" s="465">
        <v>70.613069999999979</v>
      </c>
      <c r="P9" s="456">
        <f t="shared" si="7"/>
        <v>2951.63</v>
      </c>
      <c r="Q9" s="465">
        <v>4.5374699999999999</v>
      </c>
      <c r="R9" s="456">
        <f t="shared" si="8"/>
        <v>284.5</v>
      </c>
      <c r="S9" s="465">
        <f t="shared" si="1"/>
        <v>75.150539999999978</v>
      </c>
      <c r="T9" s="456">
        <f t="shared" si="1"/>
        <v>3236.13</v>
      </c>
      <c r="U9" s="456"/>
      <c r="V9" s="465">
        <v>0</v>
      </c>
      <c r="W9" s="456">
        <f t="shared" si="9"/>
        <v>0</v>
      </c>
      <c r="X9" s="465">
        <v>0</v>
      </c>
      <c r="Y9" s="456">
        <f t="shared" si="10"/>
        <v>0</v>
      </c>
      <c r="Z9" s="465">
        <f t="shared" si="2"/>
        <v>0</v>
      </c>
      <c r="AA9" s="456">
        <f t="shared" si="2"/>
        <v>0</v>
      </c>
      <c r="AB9" s="456"/>
      <c r="AC9" s="465">
        <f t="shared" si="3"/>
        <v>172.22699999999998</v>
      </c>
      <c r="AD9" s="456">
        <f t="shared" si="3"/>
        <v>7199.09</v>
      </c>
      <c r="AE9" s="465">
        <f t="shared" si="3"/>
        <v>11.067</v>
      </c>
      <c r="AF9" s="456">
        <f t="shared" si="3"/>
        <v>693.9</v>
      </c>
      <c r="AG9" s="465">
        <f t="shared" si="4"/>
        <v>183.29399999999998</v>
      </c>
      <c r="AH9" s="456">
        <f t="shared" si="4"/>
        <v>7892.99</v>
      </c>
      <c r="AJ9" s="466">
        <v>39.81</v>
      </c>
      <c r="AK9" s="467">
        <v>41.8</v>
      </c>
      <c r="AM9" s="264">
        <f t="shared" si="11"/>
        <v>101.61392999999998</v>
      </c>
      <c r="AN9" s="264">
        <f t="shared" si="12"/>
        <v>6.5295299999999994</v>
      </c>
      <c r="AO9" s="264">
        <f t="shared" si="13"/>
        <v>108.14345999999998</v>
      </c>
      <c r="AP9" s="264">
        <v>2080</v>
      </c>
    </row>
    <row r="10" spans="1:42" ht="17.45" customHeight="1" x14ac:dyDescent="0.4">
      <c r="A10" s="453" t="s">
        <v>319</v>
      </c>
      <c r="B10" s="453">
        <v>131</v>
      </c>
      <c r="C10" s="454" t="s">
        <v>322</v>
      </c>
      <c r="D10" s="454" t="s">
        <v>545</v>
      </c>
      <c r="E10" s="453" t="s">
        <v>293</v>
      </c>
      <c r="F10" s="464">
        <v>41.7</v>
      </c>
      <c r="G10" s="464" t="s">
        <v>151</v>
      </c>
      <c r="H10" s="465">
        <v>108.50453999999998</v>
      </c>
      <c r="I10" s="456">
        <f t="shared" si="5"/>
        <v>4524.6400000000003</v>
      </c>
      <c r="J10" s="465">
        <v>6.0781799999999997</v>
      </c>
      <c r="K10" s="456">
        <f t="shared" si="6"/>
        <v>380.19</v>
      </c>
      <c r="L10" s="465">
        <f t="shared" si="0"/>
        <v>114.58271999999998</v>
      </c>
      <c r="M10" s="456">
        <f t="shared" si="0"/>
        <v>4904.83</v>
      </c>
      <c r="O10" s="465">
        <v>75.401459999999986</v>
      </c>
      <c r="P10" s="456">
        <f t="shared" si="7"/>
        <v>3144.24</v>
      </c>
      <c r="Q10" s="465">
        <v>4.2238199999999999</v>
      </c>
      <c r="R10" s="456">
        <f t="shared" si="8"/>
        <v>264.2</v>
      </c>
      <c r="S10" s="465">
        <f t="shared" si="1"/>
        <v>79.625279999999989</v>
      </c>
      <c r="T10" s="456">
        <f t="shared" si="1"/>
        <v>3408.4399999999996</v>
      </c>
      <c r="U10" s="456"/>
      <c r="V10" s="465">
        <v>0</v>
      </c>
      <c r="W10" s="456">
        <f t="shared" si="9"/>
        <v>0</v>
      </c>
      <c r="X10" s="465">
        <v>0</v>
      </c>
      <c r="Y10" s="456">
        <f t="shared" si="10"/>
        <v>0</v>
      </c>
      <c r="Z10" s="465">
        <f t="shared" si="2"/>
        <v>0</v>
      </c>
      <c r="AA10" s="456">
        <f t="shared" si="2"/>
        <v>0</v>
      </c>
      <c r="AB10" s="456"/>
      <c r="AC10" s="465">
        <f t="shared" si="3"/>
        <v>183.90599999999995</v>
      </c>
      <c r="AD10" s="456">
        <f t="shared" si="3"/>
        <v>7668.88</v>
      </c>
      <c r="AE10" s="465">
        <f t="shared" si="3"/>
        <v>10.302</v>
      </c>
      <c r="AF10" s="456">
        <f t="shared" si="3"/>
        <v>644.39</v>
      </c>
      <c r="AG10" s="465">
        <f t="shared" si="4"/>
        <v>194.20799999999994</v>
      </c>
      <c r="AH10" s="456">
        <f t="shared" si="4"/>
        <v>8313.27</v>
      </c>
      <c r="AJ10" s="466">
        <v>39.71</v>
      </c>
      <c r="AK10" s="467">
        <v>41.7</v>
      </c>
      <c r="AM10" s="264">
        <f t="shared" si="11"/>
        <v>108.50453999999998</v>
      </c>
      <c r="AN10" s="264">
        <f t="shared" si="12"/>
        <v>6.0781799999999997</v>
      </c>
      <c r="AO10" s="264">
        <f t="shared" si="13"/>
        <v>114.58271999999998</v>
      </c>
      <c r="AP10" s="264">
        <v>2080</v>
      </c>
    </row>
    <row r="11" spans="1:42" ht="17.45" customHeight="1" x14ac:dyDescent="0.4">
      <c r="A11" s="453" t="s">
        <v>319</v>
      </c>
      <c r="B11" s="453">
        <v>203</v>
      </c>
      <c r="C11" s="454" t="s">
        <v>546</v>
      </c>
      <c r="D11" s="454" t="s">
        <v>547</v>
      </c>
      <c r="E11" s="453" t="s">
        <v>293</v>
      </c>
      <c r="F11" s="464">
        <v>28.74</v>
      </c>
      <c r="G11" s="464" t="s">
        <v>151</v>
      </c>
      <c r="H11" s="465">
        <v>109.76831999999999</v>
      </c>
      <c r="I11" s="456">
        <f t="shared" si="5"/>
        <v>3154.74</v>
      </c>
      <c r="J11" s="465">
        <v>4.6037699999999999</v>
      </c>
      <c r="K11" s="456">
        <f t="shared" si="6"/>
        <v>198.47</v>
      </c>
      <c r="L11" s="465">
        <f t="shared" si="0"/>
        <v>114.37208999999999</v>
      </c>
      <c r="M11" s="456">
        <f t="shared" si="0"/>
        <v>3353.2099999999996</v>
      </c>
      <c r="O11" s="465">
        <v>76.279679999999999</v>
      </c>
      <c r="P11" s="456">
        <f t="shared" si="7"/>
        <v>2192.2800000000002</v>
      </c>
      <c r="Q11" s="465">
        <v>3.1992299999999996</v>
      </c>
      <c r="R11" s="456">
        <f t="shared" si="8"/>
        <v>137.91999999999999</v>
      </c>
      <c r="S11" s="465">
        <f t="shared" si="1"/>
        <v>79.478909999999999</v>
      </c>
      <c r="T11" s="456">
        <f t="shared" si="1"/>
        <v>2330.2000000000003</v>
      </c>
      <c r="U11" s="456"/>
      <c r="V11" s="465">
        <v>0</v>
      </c>
      <c r="W11" s="456">
        <f t="shared" si="9"/>
        <v>0</v>
      </c>
      <c r="X11" s="465">
        <v>0</v>
      </c>
      <c r="Y11" s="456">
        <f t="shared" si="10"/>
        <v>0</v>
      </c>
      <c r="Z11" s="465">
        <f t="shared" si="2"/>
        <v>0</v>
      </c>
      <c r="AA11" s="456">
        <f t="shared" si="2"/>
        <v>0</v>
      </c>
      <c r="AB11" s="456"/>
      <c r="AC11" s="465">
        <f t="shared" si="3"/>
        <v>186.048</v>
      </c>
      <c r="AD11" s="456">
        <f t="shared" si="3"/>
        <v>5347.02</v>
      </c>
      <c r="AE11" s="465">
        <f t="shared" si="3"/>
        <v>7.802999999999999</v>
      </c>
      <c r="AF11" s="456">
        <f t="shared" si="3"/>
        <v>336.39</v>
      </c>
      <c r="AG11" s="465">
        <f t="shared" si="4"/>
        <v>193.851</v>
      </c>
      <c r="AH11" s="456">
        <f t="shared" si="4"/>
        <v>5683.4100000000008</v>
      </c>
      <c r="AJ11" s="466">
        <v>27.37</v>
      </c>
      <c r="AK11" s="467">
        <v>28.74</v>
      </c>
      <c r="AM11" s="264">
        <f t="shared" si="11"/>
        <v>109.76831999999999</v>
      </c>
      <c r="AN11" s="264">
        <f t="shared" si="12"/>
        <v>4.6037699999999999</v>
      </c>
      <c r="AO11" s="264">
        <f t="shared" si="13"/>
        <v>114.37208999999999</v>
      </c>
      <c r="AP11" s="264">
        <v>2080</v>
      </c>
    </row>
    <row r="12" spans="1:42" ht="17.45" customHeight="1" x14ac:dyDescent="0.4">
      <c r="A12" s="453" t="s">
        <v>319</v>
      </c>
      <c r="B12" s="453">
        <v>216</v>
      </c>
      <c r="C12" s="454" t="s">
        <v>546</v>
      </c>
      <c r="D12" s="454" t="s">
        <v>543</v>
      </c>
      <c r="E12" s="453" t="s">
        <v>293</v>
      </c>
      <c r="F12" s="464">
        <v>27.23</v>
      </c>
      <c r="G12" s="464" t="s">
        <v>151</v>
      </c>
      <c r="H12" s="465">
        <v>75.766619999999989</v>
      </c>
      <c r="I12" s="456">
        <f t="shared" si="5"/>
        <v>2063.13</v>
      </c>
      <c r="J12" s="465">
        <v>0.48143999999999992</v>
      </c>
      <c r="K12" s="456">
        <f t="shared" si="6"/>
        <v>19.66</v>
      </c>
      <c r="L12" s="465">
        <f t="shared" si="0"/>
        <v>76.248059999999995</v>
      </c>
      <c r="M12" s="456">
        <f t="shared" si="0"/>
        <v>2082.79</v>
      </c>
      <c r="O12" s="465">
        <v>52.651379999999989</v>
      </c>
      <c r="P12" s="456">
        <f t="shared" si="7"/>
        <v>1433.7</v>
      </c>
      <c r="Q12" s="465">
        <v>0.33455999999999997</v>
      </c>
      <c r="R12" s="456">
        <f t="shared" si="8"/>
        <v>13.67</v>
      </c>
      <c r="S12" s="465">
        <f t="shared" si="1"/>
        <v>52.985939999999992</v>
      </c>
      <c r="T12" s="456">
        <f t="shared" si="1"/>
        <v>1447.3700000000001</v>
      </c>
      <c r="U12" s="456"/>
      <c r="V12" s="465">
        <v>0</v>
      </c>
      <c r="W12" s="456">
        <f t="shared" si="9"/>
        <v>0</v>
      </c>
      <c r="X12" s="465">
        <v>0</v>
      </c>
      <c r="Y12" s="456">
        <f t="shared" si="10"/>
        <v>0</v>
      </c>
      <c r="Z12" s="465">
        <f t="shared" si="2"/>
        <v>0</v>
      </c>
      <c r="AA12" s="456">
        <f t="shared" si="2"/>
        <v>0</v>
      </c>
      <c r="AB12" s="456"/>
      <c r="AC12" s="465">
        <f t="shared" si="3"/>
        <v>128.41799999999998</v>
      </c>
      <c r="AD12" s="456">
        <f t="shared" si="3"/>
        <v>3496.83</v>
      </c>
      <c r="AE12" s="465">
        <f t="shared" si="3"/>
        <v>0.81599999999999984</v>
      </c>
      <c r="AF12" s="456">
        <f t="shared" si="3"/>
        <v>33.33</v>
      </c>
      <c r="AG12" s="465">
        <f t="shared" si="4"/>
        <v>129.23399999999998</v>
      </c>
      <c r="AH12" s="456">
        <f t="shared" si="4"/>
        <v>3530.16</v>
      </c>
      <c r="AJ12" s="466">
        <v>25.93</v>
      </c>
      <c r="AK12" s="467">
        <v>27.23</v>
      </c>
      <c r="AM12" s="264">
        <f t="shared" si="11"/>
        <v>75.766619999999989</v>
      </c>
      <c r="AN12" s="264">
        <f t="shared" si="12"/>
        <v>0.48143999999999992</v>
      </c>
      <c r="AO12" s="264">
        <f t="shared" si="13"/>
        <v>76.248059999999995</v>
      </c>
      <c r="AP12" s="264">
        <v>2080</v>
      </c>
    </row>
    <row r="13" spans="1:42" ht="17.45" customHeight="1" x14ac:dyDescent="0.4">
      <c r="A13" s="453" t="s">
        <v>302</v>
      </c>
      <c r="B13" s="453">
        <v>116</v>
      </c>
      <c r="C13" s="454" t="s">
        <v>303</v>
      </c>
      <c r="D13" s="454" t="s">
        <v>548</v>
      </c>
      <c r="E13" s="453" t="s">
        <v>293</v>
      </c>
      <c r="F13" s="464">
        <v>39.799999999999997</v>
      </c>
      <c r="G13" s="464" t="s">
        <v>151</v>
      </c>
      <c r="H13" s="465">
        <v>246</v>
      </c>
      <c r="I13" s="456">
        <f t="shared" si="5"/>
        <v>9790.7999999999993</v>
      </c>
      <c r="J13" s="465">
        <v>31</v>
      </c>
      <c r="K13" s="456">
        <f t="shared" si="6"/>
        <v>1850.7</v>
      </c>
      <c r="L13" s="465">
        <f t="shared" si="0"/>
        <v>277</v>
      </c>
      <c r="M13" s="456">
        <f t="shared" si="0"/>
        <v>11641.5</v>
      </c>
      <c r="O13" s="465">
        <v>0</v>
      </c>
      <c r="P13" s="456">
        <f t="shared" si="7"/>
        <v>0</v>
      </c>
      <c r="Q13" s="465">
        <v>0</v>
      </c>
      <c r="R13" s="456">
        <f t="shared" si="8"/>
        <v>0</v>
      </c>
      <c r="S13" s="465">
        <f t="shared" si="1"/>
        <v>0</v>
      </c>
      <c r="T13" s="456">
        <f t="shared" si="1"/>
        <v>0</v>
      </c>
      <c r="U13" s="456"/>
      <c r="V13" s="465">
        <v>0</v>
      </c>
      <c r="W13" s="456">
        <f t="shared" si="9"/>
        <v>0</v>
      </c>
      <c r="X13" s="465">
        <v>0</v>
      </c>
      <c r="Y13" s="456">
        <f t="shared" si="10"/>
        <v>0</v>
      </c>
      <c r="Z13" s="465">
        <f t="shared" si="2"/>
        <v>0</v>
      </c>
      <c r="AA13" s="456">
        <f t="shared" si="2"/>
        <v>0</v>
      </c>
      <c r="AB13" s="456"/>
      <c r="AC13" s="465">
        <f t="shared" si="3"/>
        <v>246</v>
      </c>
      <c r="AD13" s="456">
        <f t="shared" si="3"/>
        <v>9790.7999999999993</v>
      </c>
      <c r="AE13" s="465">
        <f t="shared" si="3"/>
        <v>31</v>
      </c>
      <c r="AF13" s="456">
        <f t="shared" si="3"/>
        <v>1850.7</v>
      </c>
      <c r="AG13" s="465">
        <f t="shared" si="4"/>
        <v>277</v>
      </c>
      <c r="AH13" s="456">
        <f t="shared" si="4"/>
        <v>11641.5</v>
      </c>
      <c r="AJ13" s="466">
        <v>37.9</v>
      </c>
      <c r="AK13" s="467">
        <v>39.799999999999997</v>
      </c>
      <c r="AM13" s="264">
        <f t="shared" si="11"/>
        <v>246</v>
      </c>
      <c r="AN13" s="264">
        <f t="shared" si="12"/>
        <v>31</v>
      </c>
      <c r="AO13" s="264">
        <f t="shared" si="13"/>
        <v>277</v>
      </c>
      <c r="AP13" s="264">
        <v>2080</v>
      </c>
    </row>
    <row r="14" spans="1:42" ht="17.45" customHeight="1" x14ac:dyDescent="0.4">
      <c r="A14" s="453" t="s">
        <v>302</v>
      </c>
      <c r="B14" s="453">
        <v>206</v>
      </c>
      <c r="C14" s="454" t="s">
        <v>307</v>
      </c>
      <c r="D14" s="454" t="s">
        <v>549</v>
      </c>
      <c r="E14" s="453" t="s">
        <v>293</v>
      </c>
      <c r="F14" s="464">
        <v>20.52</v>
      </c>
      <c r="G14" s="464" t="s">
        <v>151</v>
      </c>
      <c r="H14" s="465">
        <v>94.5</v>
      </c>
      <c r="I14" s="456">
        <f t="shared" si="5"/>
        <v>1939.14</v>
      </c>
      <c r="J14" s="465">
        <v>0.5</v>
      </c>
      <c r="K14" s="456">
        <f t="shared" si="6"/>
        <v>15.39</v>
      </c>
      <c r="L14" s="465">
        <f t="shared" si="0"/>
        <v>95</v>
      </c>
      <c r="M14" s="456">
        <f t="shared" si="0"/>
        <v>1954.5300000000002</v>
      </c>
      <c r="O14" s="465">
        <v>2</v>
      </c>
      <c r="P14" s="456">
        <f t="shared" si="7"/>
        <v>41.04</v>
      </c>
      <c r="Q14" s="465">
        <v>0</v>
      </c>
      <c r="R14" s="456">
        <f t="shared" si="8"/>
        <v>0</v>
      </c>
      <c r="S14" s="465">
        <f t="shared" si="1"/>
        <v>2</v>
      </c>
      <c r="T14" s="456">
        <f t="shared" si="1"/>
        <v>41.04</v>
      </c>
      <c r="U14" s="456"/>
      <c r="V14" s="465">
        <v>0</v>
      </c>
      <c r="W14" s="456">
        <f t="shared" si="9"/>
        <v>0</v>
      </c>
      <c r="X14" s="465">
        <v>0</v>
      </c>
      <c r="Y14" s="456">
        <f t="shared" si="10"/>
        <v>0</v>
      </c>
      <c r="Z14" s="465">
        <f t="shared" si="2"/>
        <v>0</v>
      </c>
      <c r="AA14" s="456">
        <f t="shared" si="2"/>
        <v>0</v>
      </c>
      <c r="AB14" s="456"/>
      <c r="AC14" s="465">
        <f t="shared" si="3"/>
        <v>96.5</v>
      </c>
      <c r="AD14" s="456">
        <f t="shared" si="3"/>
        <v>1980.18</v>
      </c>
      <c r="AE14" s="465">
        <f t="shared" si="3"/>
        <v>0.5</v>
      </c>
      <c r="AF14" s="456">
        <f t="shared" si="3"/>
        <v>15.39</v>
      </c>
      <c r="AG14" s="465">
        <f t="shared" si="4"/>
        <v>97</v>
      </c>
      <c r="AH14" s="456">
        <f t="shared" si="4"/>
        <v>1995.5700000000002</v>
      </c>
      <c r="AJ14" s="466">
        <v>19.54</v>
      </c>
      <c r="AK14" s="467">
        <v>20.52</v>
      </c>
      <c r="AM14" s="264">
        <f t="shared" si="11"/>
        <v>94.5</v>
      </c>
      <c r="AN14" s="264">
        <f t="shared" si="12"/>
        <v>0.5</v>
      </c>
      <c r="AO14" s="264">
        <f t="shared" si="13"/>
        <v>95</v>
      </c>
      <c r="AP14" s="264">
        <v>2080</v>
      </c>
    </row>
    <row r="15" spans="1:42" ht="17.45" customHeight="1" x14ac:dyDescent="0.4">
      <c r="A15" s="453" t="s">
        <v>302</v>
      </c>
      <c r="B15" s="453">
        <v>226</v>
      </c>
      <c r="C15" s="454" t="s">
        <v>307</v>
      </c>
      <c r="D15" s="454" t="s">
        <v>550</v>
      </c>
      <c r="E15" s="453" t="s">
        <v>293</v>
      </c>
      <c r="F15" s="464">
        <v>19.62</v>
      </c>
      <c r="G15" s="464" t="s">
        <v>151</v>
      </c>
      <c r="H15" s="465">
        <v>168</v>
      </c>
      <c r="I15" s="456">
        <f t="shared" si="5"/>
        <v>3296.16</v>
      </c>
      <c r="J15" s="465">
        <v>31</v>
      </c>
      <c r="K15" s="456">
        <f t="shared" si="6"/>
        <v>912.33</v>
      </c>
      <c r="L15" s="465">
        <f t="shared" si="0"/>
        <v>199</v>
      </c>
      <c r="M15" s="456">
        <f t="shared" si="0"/>
        <v>4208.49</v>
      </c>
      <c r="O15" s="465">
        <v>0</v>
      </c>
      <c r="P15" s="456">
        <f t="shared" si="7"/>
        <v>0</v>
      </c>
      <c r="Q15" s="465">
        <v>0</v>
      </c>
      <c r="R15" s="456">
        <f t="shared" si="8"/>
        <v>0</v>
      </c>
      <c r="S15" s="465">
        <f t="shared" si="1"/>
        <v>0</v>
      </c>
      <c r="T15" s="456">
        <f t="shared" si="1"/>
        <v>0</v>
      </c>
      <c r="U15" s="456"/>
      <c r="V15" s="465">
        <v>0</v>
      </c>
      <c r="W15" s="456">
        <f t="shared" si="9"/>
        <v>0</v>
      </c>
      <c r="X15" s="465">
        <v>0</v>
      </c>
      <c r="Y15" s="456">
        <f t="shared" si="10"/>
        <v>0</v>
      </c>
      <c r="Z15" s="465">
        <f t="shared" si="2"/>
        <v>0</v>
      </c>
      <c r="AA15" s="456">
        <f t="shared" si="2"/>
        <v>0</v>
      </c>
      <c r="AB15" s="456"/>
      <c r="AC15" s="465">
        <f t="shared" si="3"/>
        <v>168</v>
      </c>
      <c r="AD15" s="456">
        <f t="shared" si="3"/>
        <v>3296.16</v>
      </c>
      <c r="AE15" s="465">
        <f t="shared" si="3"/>
        <v>31</v>
      </c>
      <c r="AF15" s="456">
        <f t="shared" si="3"/>
        <v>912.33</v>
      </c>
      <c r="AG15" s="465">
        <f t="shared" si="4"/>
        <v>199</v>
      </c>
      <c r="AH15" s="456">
        <f t="shared" si="4"/>
        <v>4208.49</v>
      </c>
      <c r="AJ15" s="466">
        <v>18.690000000000001</v>
      </c>
      <c r="AK15" s="467">
        <v>19.62</v>
      </c>
      <c r="AM15" s="264">
        <f t="shared" si="11"/>
        <v>168</v>
      </c>
      <c r="AN15" s="264">
        <f t="shared" si="12"/>
        <v>31</v>
      </c>
      <c r="AO15" s="264">
        <f t="shared" si="13"/>
        <v>199</v>
      </c>
      <c r="AP15" s="264">
        <v>2080</v>
      </c>
    </row>
    <row r="16" spans="1:42" ht="17.45" customHeight="1" x14ac:dyDescent="0.4">
      <c r="A16" s="453" t="s">
        <v>302</v>
      </c>
      <c r="B16" s="453">
        <v>223</v>
      </c>
      <c r="C16" s="454" t="s">
        <v>307</v>
      </c>
      <c r="D16" s="454" t="s">
        <v>551</v>
      </c>
      <c r="E16" s="453" t="s">
        <v>293</v>
      </c>
      <c r="F16" s="464">
        <v>20.7</v>
      </c>
      <c r="G16" s="464" t="s">
        <v>151</v>
      </c>
      <c r="H16" s="465">
        <v>249</v>
      </c>
      <c r="I16" s="456">
        <f t="shared" si="5"/>
        <v>5154.3</v>
      </c>
      <c r="J16" s="465">
        <v>3.5</v>
      </c>
      <c r="K16" s="456">
        <f t="shared" si="6"/>
        <v>108.68</v>
      </c>
      <c r="L16" s="465">
        <f t="shared" si="0"/>
        <v>252.5</v>
      </c>
      <c r="M16" s="456">
        <f t="shared" si="0"/>
        <v>5262.9800000000005</v>
      </c>
      <c r="O16" s="465">
        <v>0</v>
      </c>
      <c r="P16" s="456">
        <f t="shared" si="7"/>
        <v>0</v>
      </c>
      <c r="Q16" s="465">
        <v>0</v>
      </c>
      <c r="R16" s="456">
        <f t="shared" si="8"/>
        <v>0</v>
      </c>
      <c r="S16" s="465">
        <f t="shared" si="1"/>
        <v>0</v>
      </c>
      <c r="T16" s="456">
        <f t="shared" si="1"/>
        <v>0</v>
      </c>
      <c r="U16" s="456"/>
      <c r="V16" s="465">
        <v>0</v>
      </c>
      <c r="W16" s="456">
        <f t="shared" si="9"/>
        <v>0</v>
      </c>
      <c r="X16" s="465">
        <v>0</v>
      </c>
      <c r="Y16" s="456">
        <f t="shared" si="10"/>
        <v>0</v>
      </c>
      <c r="Z16" s="465">
        <f t="shared" si="2"/>
        <v>0</v>
      </c>
      <c r="AA16" s="456">
        <f t="shared" si="2"/>
        <v>0</v>
      </c>
      <c r="AB16" s="456"/>
      <c r="AC16" s="465">
        <f t="shared" si="3"/>
        <v>249</v>
      </c>
      <c r="AD16" s="456">
        <f t="shared" si="3"/>
        <v>5154.3</v>
      </c>
      <c r="AE16" s="465">
        <f t="shared" si="3"/>
        <v>3.5</v>
      </c>
      <c r="AF16" s="456">
        <f t="shared" si="3"/>
        <v>108.68</v>
      </c>
      <c r="AG16" s="465">
        <f t="shared" si="4"/>
        <v>252.5</v>
      </c>
      <c r="AH16" s="456">
        <f t="shared" si="4"/>
        <v>5262.9800000000005</v>
      </c>
      <c r="AJ16" s="466">
        <v>19.71</v>
      </c>
      <c r="AK16" s="467">
        <v>20.7</v>
      </c>
      <c r="AM16" s="264">
        <f t="shared" si="11"/>
        <v>249</v>
      </c>
      <c r="AN16" s="264">
        <f t="shared" si="12"/>
        <v>3.5</v>
      </c>
      <c r="AO16" s="264">
        <f t="shared" ref="AO16:AO71" si="14">SUM(AM16:AN16)</f>
        <v>252.5</v>
      </c>
      <c r="AP16" s="264">
        <v>2080</v>
      </c>
    </row>
    <row r="17" spans="1:42" ht="17.45" customHeight="1" x14ac:dyDescent="0.4">
      <c r="A17" s="453" t="s">
        <v>302</v>
      </c>
      <c r="B17" s="453">
        <v>215</v>
      </c>
      <c r="C17" s="454" t="s">
        <v>307</v>
      </c>
      <c r="D17" s="454" t="s">
        <v>552</v>
      </c>
      <c r="E17" s="453" t="s">
        <v>293</v>
      </c>
      <c r="F17" s="464">
        <v>22.76</v>
      </c>
      <c r="G17" s="464" t="s">
        <v>151</v>
      </c>
      <c r="H17" s="465">
        <v>195</v>
      </c>
      <c r="I17" s="456">
        <f t="shared" si="5"/>
        <v>4438.2</v>
      </c>
      <c r="J17" s="465">
        <v>0</v>
      </c>
      <c r="K17" s="456">
        <f t="shared" si="6"/>
        <v>0</v>
      </c>
      <c r="L17" s="465">
        <f t="shared" si="0"/>
        <v>195</v>
      </c>
      <c r="M17" s="456">
        <f t="shared" si="0"/>
        <v>4438.2</v>
      </c>
      <c r="O17" s="465">
        <v>0</v>
      </c>
      <c r="P17" s="456">
        <f t="shared" si="7"/>
        <v>0</v>
      </c>
      <c r="Q17" s="465">
        <v>0</v>
      </c>
      <c r="R17" s="456">
        <f t="shared" si="8"/>
        <v>0</v>
      </c>
      <c r="S17" s="465">
        <f t="shared" si="1"/>
        <v>0</v>
      </c>
      <c r="T17" s="456">
        <f t="shared" si="1"/>
        <v>0</v>
      </c>
      <c r="U17" s="456"/>
      <c r="V17" s="465">
        <v>0</v>
      </c>
      <c r="W17" s="456">
        <f t="shared" si="9"/>
        <v>0</v>
      </c>
      <c r="X17" s="465">
        <v>0</v>
      </c>
      <c r="Y17" s="456">
        <f t="shared" si="10"/>
        <v>0</v>
      </c>
      <c r="Z17" s="465">
        <f t="shared" si="2"/>
        <v>0</v>
      </c>
      <c r="AA17" s="456">
        <f t="shared" si="2"/>
        <v>0</v>
      </c>
      <c r="AB17" s="456"/>
      <c r="AC17" s="465">
        <f t="shared" si="3"/>
        <v>195</v>
      </c>
      <c r="AD17" s="456">
        <f t="shared" si="3"/>
        <v>4438.2</v>
      </c>
      <c r="AE17" s="465">
        <f t="shared" si="3"/>
        <v>0</v>
      </c>
      <c r="AF17" s="456">
        <f t="shared" si="3"/>
        <v>0</v>
      </c>
      <c r="AG17" s="465">
        <f t="shared" si="4"/>
        <v>195</v>
      </c>
      <c r="AH17" s="456">
        <f t="shared" si="4"/>
        <v>4438.2</v>
      </c>
      <c r="AJ17" s="466">
        <v>21.68</v>
      </c>
      <c r="AK17" s="467">
        <v>22.76</v>
      </c>
      <c r="AM17" s="264">
        <f t="shared" si="11"/>
        <v>195</v>
      </c>
      <c r="AN17" s="264">
        <f t="shared" si="12"/>
        <v>0</v>
      </c>
      <c r="AO17" s="264">
        <f t="shared" si="14"/>
        <v>195</v>
      </c>
      <c r="AP17" s="264">
        <v>2080</v>
      </c>
    </row>
    <row r="18" spans="1:42" ht="17.45" customHeight="1" x14ac:dyDescent="0.4">
      <c r="A18" s="453" t="s">
        <v>324</v>
      </c>
      <c r="B18" s="453">
        <v>197</v>
      </c>
      <c r="C18" s="454" t="s">
        <v>553</v>
      </c>
      <c r="D18" s="454" t="s">
        <v>554</v>
      </c>
      <c r="E18" s="453" t="s">
        <v>293</v>
      </c>
      <c r="F18" s="464">
        <v>20.65</v>
      </c>
      <c r="G18" s="464" t="s">
        <v>151</v>
      </c>
      <c r="H18" s="465">
        <v>762.64499999999998</v>
      </c>
      <c r="I18" s="456">
        <f t="shared" si="5"/>
        <v>15748.62</v>
      </c>
      <c r="J18" s="465">
        <v>0.59</v>
      </c>
      <c r="K18" s="456">
        <f t="shared" si="6"/>
        <v>18.28</v>
      </c>
      <c r="L18" s="465">
        <f t="shared" si="0"/>
        <v>763.23500000000001</v>
      </c>
      <c r="M18" s="456">
        <f t="shared" si="0"/>
        <v>15766.900000000001</v>
      </c>
      <c r="O18" s="465">
        <v>518.85500000000002</v>
      </c>
      <c r="P18" s="456">
        <f t="shared" si="7"/>
        <v>10714.36</v>
      </c>
      <c r="Q18" s="465">
        <v>0.41</v>
      </c>
      <c r="R18" s="456">
        <f t="shared" si="8"/>
        <v>12.7</v>
      </c>
      <c r="S18" s="465">
        <f t="shared" si="1"/>
        <v>519.26499999999999</v>
      </c>
      <c r="T18" s="456">
        <f t="shared" si="1"/>
        <v>10727.060000000001</v>
      </c>
      <c r="U18" s="456"/>
      <c r="V18" s="465">
        <v>0</v>
      </c>
      <c r="W18" s="456">
        <f t="shared" si="9"/>
        <v>0</v>
      </c>
      <c r="X18" s="465">
        <v>0</v>
      </c>
      <c r="Y18" s="456">
        <f t="shared" si="10"/>
        <v>0</v>
      </c>
      <c r="Z18" s="465">
        <f t="shared" si="2"/>
        <v>0</v>
      </c>
      <c r="AA18" s="456">
        <f t="shared" si="2"/>
        <v>0</v>
      </c>
      <c r="AB18" s="456"/>
      <c r="AC18" s="465">
        <f t="shared" si="3"/>
        <v>1281.5</v>
      </c>
      <c r="AD18" s="456">
        <f t="shared" si="3"/>
        <v>26462.980000000003</v>
      </c>
      <c r="AE18" s="465">
        <f t="shared" si="3"/>
        <v>1</v>
      </c>
      <c r="AF18" s="456">
        <f t="shared" si="3"/>
        <v>30.98</v>
      </c>
      <c r="AG18" s="465">
        <f t="shared" si="4"/>
        <v>1282.5</v>
      </c>
      <c r="AH18" s="456">
        <f t="shared" si="4"/>
        <v>26493.960000000003</v>
      </c>
      <c r="AJ18" s="466">
        <v>19.670000000000002</v>
      </c>
      <c r="AK18" s="467">
        <v>20.65</v>
      </c>
      <c r="AM18" s="264">
        <f t="shared" si="11"/>
        <v>762.64499999999998</v>
      </c>
      <c r="AN18" s="264">
        <f t="shared" si="12"/>
        <v>0.59</v>
      </c>
      <c r="AO18" s="264">
        <f t="shared" si="14"/>
        <v>763.23500000000001</v>
      </c>
      <c r="AP18" s="264">
        <v>2080</v>
      </c>
    </row>
    <row r="19" spans="1:42" ht="17.45" customHeight="1" x14ac:dyDescent="0.4">
      <c r="A19" s="453" t="s">
        <v>324</v>
      </c>
      <c r="B19" s="453">
        <v>163</v>
      </c>
      <c r="C19" s="455" t="s">
        <v>555</v>
      </c>
      <c r="D19" s="454" t="s">
        <v>556</v>
      </c>
      <c r="E19" s="453" t="s">
        <v>293</v>
      </c>
      <c r="F19" s="464">
        <v>23.6</v>
      </c>
      <c r="G19" s="464" t="s">
        <v>151</v>
      </c>
      <c r="H19" s="465">
        <v>516.49499999999989</v>
      </c>
      <c r="I19" s="456">
        <f t="shared" si="5"/>
        <v>12189.28</v>
      </c>
      <c r="J19" s="465">
        <v>64.334999999999994</v>
      </c>
      <c r="K19" s="456">
        <f t="shared" si="6"/>
        <v>2277.46</v>
      </c>
      <c r="L19" s="465">
        <f t="shared" si="0"/>
        <v>580.82999999999993</v>
      </c>
      <c r="M19" s="456">
        <f t="shared" si="0"/>
        <v>14466.740000000002</v>
      </c>
      <c r="O19" s="465">
        <v>340.505</v>
      </c>
      <c r="P19" s="456">
        <f t="shared" si="7"/>
        <v>8035.92</v>
      </c>
      <c r="Q19" s="465">
        <v>43.664999999999999</v>
      </c>
      <c r="R19" s="456">
        <f t="shared" si="8"/>
        <v>1545.74</v>
      </c>
      <c r="S19" s="465">
        <f t="shared" si="1"/>
        <v>384.17</v>
      </c>
      <c r="T19" s="456">
        <f t="shared" si="1"/>
        <v>9581.66</v>
      </c>
      <c r="U19" s="456"/>
      <c r="V19" s="465">
        <v>0</v>
      </c>
      <c r="W19" s="456">
        <f t="shared" si="9"/>
        <v>0</v>
      </c>
      <c r="X19" s="465">
        <v>0</v>
      </c>
      <c r="Y19" s="456">
        <f t="shared" si="10"/>
        <v>0</v>
      </c>
      <c r="Z19" s="465">
        <f t="shared" si="2"/>
        <v>0</v>
      </c>
      <c r="AA19" s="456">
        <f t="shared" si="2"/>
        <v>0</v>
      </c>
      <c r="AB19" s="456"/>
      <c r="AC19" s="465">
        <f t="shared" si="3"/>
        <v>856.99999999999989</v>
      </c>
      <c r="AD19" s="456">
        <f t="shared" si="3"/>
        <v>20225.2</v>
      </c>
      <c r="AE19" s="465">
        <f t="shared" si="3"/>
        <v>108</v>
      </c>
      <c r="AF19" s="456">
        <f t="shared" si="3"/>
        <v>3823.2</v>
      </c>
      <c r="AG19" s="465">
        <f t="shared" si="4"/>
        <v>964.99999999999989</v>
      </c>
      <c r="AH19" s="456">
        <f t="shared" si="4"/>
        <v>24048.400000000001</v>
      </c>
      <c r="AJ19" s="466">
        <v>22.48</v>
      </c>
      <c r="AK19" s="467">
        <v>23.6</v>
      </c>
      <c r="AM19" s="264">
        <f t="shared" si="11"/>
        <v>516.49499999999989</v>
      </c>
      <c r="AN19" s="264">
        <f t="shared" si="12"/>
        <v>64.334999999999994</v>
      </c>
      <c r="AO19" s="264">
        <f t="shared" si="14"/>
        <v>580.82999999999993</v>
      </c>
      <c r="AP19" s="264">
        <v>2080</v>
      </c>
    </row>
    <row r="20" spans="1:42" ht="17.45" customHeight="1" x14ac:dyDescent="0.4">
      <c r="A20" s="453" t="s">
        <v>313</v>
      </c>
      <c r="B20" s="453">
        <v>35</v>
      </c>
      <c r="C20" s="454" t="s">
        <v>557</v>
      </c>
      <c r="D20" s="454" t="s">
        <v>558</v>
      </c>
      <c r="E20" s="453" t="s">
        <v>293</v>
      </c>
      <c r="F20" s="464">
        <v>3115.83</v>
      </c>
      <c r="G20" s="464" t="s">
        <v>294</v>
      </c>
      <c r="H20" s="465">
        <v>97.010159999999985</v>
      </c>
      <c r="I20" s="456">
        <f t="shared" si="5"/>
        <v>3778.34</v>
      </c>
      <c r="J20" s="465">
        <v>8.1844799999999989</v>
      </c>
      <c r="K20" s="456">
        <f t="shared" si="6"/>
        <v>318.77</v>
      </c>
      <c r="L20" s="465">
        <f t="shared" si="0"/>
        <v>105.19463999999998</v>
      </c>
      <c r="M20" s="456">
        <f t="shared" si="0"/>
        <v>4097.1100000000006</v>
      </c>
      <c r="O20" s="465">
        <v>67.413839999999993</v>
      </c>
      <c r="P20" s="456">
        <f t="shared" si="7"/>
        <v>2625.63</v>
      </c>
      <c r="Q20" s="465">
        <v>5.6875199999999992</v>
      </c>
      <c r="R20" s="456">
        <f t="shared" si="8"/>
        <v>221.52</v>
      </c>
      <c r="S20" s="465">
        <f t="shared" si="1"/>
        <v>73.10136</v>
      </c>
      <c r="T20" s="456">
        <f t="shared" si="1"/>
        <v>2847.15</v>
      </c>
      <c r="U20" s="456"/>
      <c r="V20" s="465">
        <v>0</v>
      </c>
      <c r="W20" s="456">
        <f t="shared" si="9"/>
        <v>0</v>
      </c>
      <c r="X20" s="465">
        <v>0</v>
      </c>
      <c r="Y20" s="456">
        <f t="shared" si="10"/>
        <v>0</v>
      </c>
      <c r="Z20" s="465">
        <f t="shared" si="2"/>
        <v>0</v>
      </c>
      <c r="AA20" s="456">
        <f t="shared" si="2"/>
        <v>0</v>
      </c>
      <c r="AB20" s="456"/>
      <c r="AC20" s="465">
        <f t="shared" si="3"/>
        <v>164.42399999999998</v>
      </c>
      <c r="AD20" s="456">
        <f t="shared" si="3"/>
        <v>6403.97</v>
      </c>
      <c r="AE20" s="465">
        <f t="shared" si="3"/>
        <v>13.871999999999998</v>
      </c>
      <c r="AF20" s="456">
        <f t="shared" si="3"/>
        <v>540.29</v>
      </c>
      <c r="AG20" s="465">
        <f t="shared" si="4"/>
        <v>178.29599999999996</v>
      </c>
      <c r="AH20" s="456">
        <f t="shared" si="4"/>
        <v>6944.26</v>
      </c>
      <c r="AJ20" s="466">
        <v>2967.46</v>
      </c>
      <c r="AK20" s="467">
        <v>3115.83</v>
      </c>
      <c r="AM20" s="264">
        <f t="shared" si="11"/>
        <v>97.010159999999985</v>
      </c>
      <c r="AN20" s="264">
        <f t="shared" si="12"/>
        <v>8.1844799999999989</v>
      </c>
      <c r="AO20" s="264">
        <f t="shared" si="14"/>
        <v>105.19463999999998</v>
      </c>
      <c r="AP20" s="264">
        <v>2080</v>
      </c>
    </row>
    <row r="21" spans="1:42" ht="17.45" customHeight="1" x14ac:dyDescent="0.4">
      <c r="A21" s="453" t="s">
        <v>313</v>
      </c>
      <c r="B21" s="453">
        <v>35</v>
      </c>
      <c r="C21" s="454" t="s">
        <v>314</v>
      </c>
      <c r="D21" s="454" t="s">
        <v>558</v>
      </c>
      <c r="E21" s="453" t="s">
        <v>293</v>
      </c>
      <c r="F21" s="464">
        <v>3115.83</v>
      </c>
      <c r="G21" s="464" t="s">
        <v>294</v>
      </c>
      <c r="H21" s="465">
        <v>46.910309999999996</v>
      </c>
      <c r="I21" s="456">
        <f t="shared" si="5"/>
        <v>1827.06</v>
      </c>
      <c r="J21" s="465">
        <v>4.9046699999999994</v>
      </c>
      <c r="K21" s="456">
        <f t="shared" si="6"/>
        <v>191.03</v>
      </c>
      <c r="L21" s="465">
        <f t="shared" si="0"/>
        <v>51.814979999999991</v>
      </c>
      <c r="M21" s="456">
        <f t="shared" si="0"/>
        <v>2018.09</v>
      </c>
      <c r="O21" s="465">
        <v>32.598689999999998</v>
      </c>
      <c r="P21" s="456">
        <f t="shared" si="7"/>
        <v>1269.6500000000001</v>
      </c>
      <c r="Q21" s="465">
        <v>3.4083299999999994</v>
      </c>
      <c r="R21" s="456">
        <f t="shared" si="8"/>
        <v>132.75</v>
      </c>
      <c r="S21" s="465">
        <f t="shared" si="1"/>
        <v>36.007019999999997</v>
      </c>
      <c r="T21" s="456">
        <f t="shared" si="1"/>
        <v>1402.4</v>
      </c>
      <c r="U21" s="456"/>
      <c r="V21" s="465">
        <v>0</v>
      </c>
      <c r="W21" s="456">
        <f t="shared" si="9"/>
        <v>0</v>
      </c>
      <c r="X21" s="465">
        <v>0</v>
      </c>
      <c r="Y21" s="456">
        <f t="shared" si="10"/>
        <v>0</v>
      </c>
      <c r="Z21" s="465">
        <f t="shared" si="2"/>
        <v>0</v>
      </c>
      <c r="AA21" s="456">
        <f t="shared" si="2"/>
        <v>0</v>
      </c>
      <c r="AB21" s="456"/>
      <c r="AC21" s="465">
        <f t="shared" si="3"/>
        <v>79.508999999999986</v>
      </c>
      <c r="AD21" s="456">
        <f t="shared" si="3"/>
        <v>3096.71</v>
      </c>
      <c r="AE21" s="465">
        <f t="shared" si="3"/>
        <v>8.3129999999999988</v>
      </c>
      <c r="AF21" s="456">
        <f t="shared" si="3"/>
        <v>323.77999999999997</v>
      </c>
      <c r="AG21" s="465">
        <f t="shared" si="4"/>
        <v>87.821999999999989</v>
      </c>
      <c r="AH21" s="456">
        <f t="shared" si="4"/>
        <v>3420.49</v>
      </c>
      <c r="AJ21" s="466">
        <v>2967.46</v>
      </c>
      <c r="AK21" s="467">
        <v>3115.83</v>
      </c>
      <c r="AM21" s="264">
        <f t="shared" si="11"/>
        <v>46.910309999999996</v>
      </c>
      <c r="AN21" s="264">
        <f t="shared" si="12"/>
        <v>4.9046699999999994</v>
      </c>
      <c r="AO21" s="264">
        <f t="shared" si="14"/>
        <v>51.814979999999991</v>
      </c>
      <c r="AP21" s="264">
        <v>2080</v>
      </c>
    </row>
    <row r="22" spans="1:42" ht="17.45" customHeight="1" x14ac:dyDescent="0.4">
      <c r="A22" s="453" t="s">
        <v>302</v>
      </c>
      <c r="B22" s="453">
        <v>227</v>
      </c>
      <c r="C22" s="454" t="s">
        <v>308</v>
      </c>
      <c r="D22" s="454" t="s">
        <v>559</v>
      </c>
      <c r="E22" s="453" t="s">
        <v>293</v>
      </c>
      <c r="F22" s="464">
        <v>19.62</v>
      </c>
      <c r="G22" s="464" t="s">
        <v>151</v>
      </c>
      <c r="H22" s="465">
        <v>0</v>
      </c>
      <c r="I22" s="456">
        <f t="shared" si="5"/>
        <v>0</v>
      </c>
      <c r="J22" s="465">
        <v>8.5</v>
      </c>
      <c r="K22" s="456">
        <f t="shared" si="6"/>
        <v>250.16</v>
      </c>
      <c r="L22" s="465">
        <f t="shared" si="0"/>
        <v>8.5</v>
      </c>
      <c r="M22" s="456">
        <f t="shared" si="0"/>
        <v>250.16</v>
      </c>
      <c r="O22" s="465">
        <v>0</v>
      </c>
      <c r="P22" s="456">
        <f t="shared" si="7"/>
        <v>0</v>
      </c>
      <c r="Q22" s="465">
        <v>0</v>
      </c>
      <c r="R22" s="456">
        <f t="shared" si="8"/>
        <v>0</v>
      </c>
      <c r="S22" s="465">
        <f t="shared" si="1"/>
        <v>0</v>
      </c>
      <c r="T22" s="456">
        <f t="shared" si="1"/>
        <v>0</v>
      </c>
      <c r="U22" s="456"/>
      <c r="V22" s="465">
        <v>0</v>
      </c>
      <c r="W22" s="456">
        <f t="shared" si="9"/>
        <v>0</v>
      </c>
      <c r="X22" s="465">
        <v>0</v>
      </c>
      <c r="Y22" s="456">
        <f t="shared" si="10"/>
        <v>0</v>
      </c>
      <c r="Z22" s="465">
        <f t="shared" si="2"/>
        <v>0</v>
      </c>
      <c r="AA22" s="456">
        <f t="shared" si="2"/>
        <v>0</v>
      </c>
      <c r="AB22" s="456"/>
      <c r="AC22" s="465">
        <f t="shared" si="3"/>
        <v>0</v>
      </c>
      <c r="AD22" s="456">
        <f t="shared" si="3"/>
        <v>0</v>
      </c>
      <c r="AE22" s="465">
        <f t="shared" si="3"/>
        <v>8.5</v>
      </c>
      <c r="AF22" s="456">
        <f t="shared" si="3"/>
        <v>250.16</v>
      </c>
      <c r="AG22" s="465">
        <f t="shared" si="4"/>
        <v>8.5</v>
      </c>
      <c r="AH22" s="456">
        <f t="shared" si="4"/>
        <v>250.16</v>
      </c>
      <c r="AJ22" s="466">
        <v>18.690000000000001</v>
      </c>
      <c r="AK22" s="467">
        <v>19.62</v>
      </c>
      <c r="AM22" s="264">
        <f t="shared" si="11"/>
        <v>0</v>
      </c>
      <c r="AN22" s="264">
        <f t="shared" si="12"/>
        <v>8.5</v>
      </c>
      <c r="AO22" s="264">
        <f t="shared" si="14"/>
        <v>8.5</v>
      </c>
      <c r="AP22" s="264">
        <v>2080</v>
      </c>
    </row>
    <row r="23" spans="1:42" ht="17.45" customHeight="1" x14ac:dyDescent="0.4">
      <c r="A23" s="453" t="s">
        <v>296</v>
      </c>
      <c r="B23" s="453">
        <v>32</v>
      </c>
      <c r="C23" s="454" t="s">
        <v>297</v>
      </c>
      <c r="D23" s="454" t="s">
        <v>560</v>
      </c>
      <c r="E23" s="453" t="s">
        <v>293</v>
      </c>
      <c r="F23" s="464">
        <v>39.78</v>
      </c>
      <c r="G23" s="464" t="s">
        <v>151</v>
      </c>
      <c r="H23" s="465">
        <v>129.5</v>
      </c>
      <c r="I23" s="456">
        <f t="shared" si="5"/>
        <v>5151.51</v>
      </c>
      <c r="J23" s="465">
        <v>22</v>
      </c>
      <c r="K23" s="456">
        <f t="shared" si="6"/>
        <v>1312.74</v>
      </c>
      <c r="L23" s="465">
        <f t="shared" si="0"/>
        <v>151.5</v>
      </c>
      <c r="M23" s="456">
        <f t="shared" si="0"/>
        <v>6464.25</v>
      </c>
      <c r="O23" s="465">
        <v>72</v>
      </c>
      <c r="P23" s="456">
        <f t="shared" si="7"/>
        <v>2864.16</v>
      </c>
      <c r="Q23" s="465">
        <v>1</v>
      </c>
      <c r="R23" s="456">
        <f t="shared" si="8"/>
        <v>59.67</v>
      </c>
      <c r="S23" s="465">
        <f t="shared" si="1"/>
        <v>73</v>
      </c>
      <c r="T23" s="456">
        <f t="shared" si="1"/>
        <v>2923.83</v>
      </c>
      <c r="U23" s="456"/>
      <c r="V23" s="465">
        <v>0</v>
      </c>
      <c r="W23" s="456">
        <f t="shared" si="9"/>
        <v>0</v>
      </c>
      <c r="X23" s="465">
        <v>0</v>
      </c>
      <c r="Y23" s="456">
        <f t="shared" si="10"/>
        <v>0</v>
      </c>
      <c r="Z23" s="465">
        <f t="shared" si="2"/>
        <v>0</v>
      </c>
      <c r="AA23" s="456">
        <f t="shared" si="2"/>
        <v>0</v>
      </c>
      <c r="AB23" s="456"/>
      <c r="AC23" s="465">
        <f t="shared" si="3"/>
        <v>201.5</v>
      </c>
      <c r="AD23" s="456">
        <f t="shared" si="3"/>
        <v>8015.67</v>
      </c>
      <c r="AE23" s="465">
        <f t="shared" si="3"/>
        <v>23</v>
      </c>
      <c r="AF23" s="456">
        <f t="shared" si="3"/>
        <v>1372.41</v>
      </c>
      <c r="AG23" s="465">
        <f t="shared" si="4"/>
        <v>224.5</v>
      </c>
      <c r="AH23" s="456">
        <f t="shared" si="4"/>
        <v>9388.08</v>
      </c>
      <c r="AJ23" s="466">
        <v>37.89</v>
      </c>
      <c r="AK23" s="467">
        <v>39.78</v>
      </c>
      <c r="AM23" s="264">
        <f t="shared" si="11"/>
        <v>129.5</v>
      </c>
      <c r="AN23" s="264">
        <f t="shared" si="12"/>
        <v>22</v>
      </c>
      <c r="AO23" s="264">
        <f t="shared" si="14"/>
        <v>151.5</v>
      </c>
      <c r="AP23" s="264">
        <v>2080</v>
      </c>
    </row>
    <row r="24" spans="1:42" ht="17.45" customHeight="1" x14ac:dyDescent="0.4">
      <c r="A24" s="453" t="s">
        <v>296</v>
      </c>
      <c r="B24" s="453">
        <v>149</v>
      </c>
      <c r="C24" s="454" t="s">
        <v>297</v>
      </c>
      <c r="D24" s="454" t="s">
        <v>561</v>
      </c>
      <c r="E24" s="453" t="s">
        <v>293</v>
      </c>
      <c r="F24" s="464">
        <v>32.200000000000003</v>
      </c>
      <c r="G24" s="464" t="s">
        <v>151</v>
      </c>
      <c r="H24" s="465">
        <v>400</v>
      </c>
      <c r="I24" s="456">
        <f t="shared" si="5"/>
        <v>12880</v>
      </c>
      <c r="J24" s="465">
        <v>35</v>
      </c>
      <c r="K24" s="456">
        <f t="shared" si="6"/>
        <v>1690.5</v>
      </c>
      <c r="L24" s="465">
        <f t="shared" si="0"/>
        <v>435</v>
      </c>
      <c r="M24" s="456">
        <f t="shared" si="0"/>
        <v>14570.5</v>
      </c>
      <c r="O24" s="465">
        <v>235</v>
      </c>
      <c r="P24" s="456">
        <f t="shared" si="7"/>
        <v>7567</v>
      </c>
      <c r="Q24" s="465">
        <v>7.5</v>
      </c>
      <c r="R24" s="456">
        <f t="shared" si="8"/>
        <v>362.25</v>
      </c>
      <c r="S24" s="465">
        <f t="shared" si="1"/>
        <v>242.5</v>
      </c>
      <c r="T24" s="456">
        <f t="shared" si="1"/>
        <v>7929.25</v>
      </c>
      <c r="U24" s="456"/>
      <c r="V24" s="465">
        <v>4</v>
      </c>
      <c r="W24" s="456">
        <f t="shared" si="9"/>
        <v>128.80000000000001</v>
      </c>
      <c r="X24" s="465">
        <v>0</v>
      </c>
      <c r="Y24" s="456">
        <f t="shared" si="10"/>
        <v>0</v>
      </c>
      <c r="Z24" s="465">
        <f t="shared" si="2"/>
        <v>4</v>
      </c>
      <c r="AA24" s="456">
        <f t="shared" si="2"/>
        <v>128.80000000000001</v>
      </c>
      <c r="AB24" s="456"/>
      <c r="AC24" s="465">
        <f t="shared" si="3"/>
        <v>639</v>
      </c>
      <c r="AD24" s="456">
        <f t="shared" si="3"/>
        <v>20575.8</v>
      </c>
      <c r="AE24" s="465">
        <f t="shared" si="3"/>
        <v>42.5</v>
      </c>
      <c r="AF24" s="456">
        <f t="shared" si="3"/>
        <v>2052.75</v>
      </c>
      <c r="AG24" s="465">
        <f t="shared" si="4"/>
        <v>681.5</v>
      </c>
      <c r="AH24" s="456">
        <f t="shared" si="4"/>
        <v>22628.55</v>
      </c>
      <c r="AJ24" s="466">
        <v>30.67</v>
      </c>
      <c r="AK24" s="467">
        <v>32.200000000000003</v>
      </c>
      <c r="AM24" s="264">
        <f t="shared" si="11"/>
        <v>400</v>
      </c>
      <c r="AN24" s="264">
        <f t="shared" si="12"/>
        <v>35</v>
      </c>
      <c r="AO24" s="264">
        <f t="shared" si="14"/>
        <v>435</v>
      </c>
      <c r="AP24" s="264">
        <v>2080</v>
      </c>
    </row>
    <row r="25" spans="1:42" ht="17.45" customHeight="1" x14ac:dyDescent="0.4">
      <c r="A25" s="453" t="s">
        <v>296</v>
      </c>
      <c r="B25" s="453">
        <v>115</v>
      </c>
      <c r="C25" s="454" t="s">
        <v>297</v>
      </c>
      <c r="D25" s="454" t="s">
        <v>562</v>
      </c>
      <c r="E25" s="453" t="s">
        <v>293</v>
      </c>
      <c r="F25" s="464">
        <v>39.78</v>
      </c>
      <c r="G25" s="464" t="s">
        <v>151</v>
      </c>
      <c r="H25" s="465">
        <v>29.560179999999999</v>
      </c>
      <c r="I25" s="456">
        <f t="shared" si="5"/>
        <v>1175.9000000000001</v>
      </c>
      <c r="J25" s="465">
        <v>24</v>
      </c>
      <c r="K25" s="456">
        <f t="shared" si="6"/>
        <v>1432.08</v>
      </c>
      <c r="L25" s="465">
        <f t="shared" si="0"/>
        <v>53.560180000000003</v>
      </c>
      <c r="M25" s="456">
        <f t="shared" si="0"/>
        <v>2607.98</v>
      </c>
      <c r="O25" s="465">
        <v>8.5418199999999995</v>
      </c>
      <c r="P25" s="456">
        <f t="shared" si="7"/>
        <v>339.79</v>
      </c>
      <c r="Q25" s="465">
        <v>0</v>
      </c>
      <c r="R25" s="456">
        <f t="shared" si="8"/>
        <v>0</v>
      </c>
      <c r="S25" s="465">
        <f t="shared" si="1"/>
        <v>8.5418199999999995</v>
      </c>
      <c r="T25" s="456">
        <f t="shared" si="1"/>
        <v>339.79</v>
      </c>
      <c r="U25" s="456"/>
      <c r="V25" s="465">
        <v>0</v>
      </c>
      <c r="W25" s="456">
        <f t="shared" si="9"/>
        <v>0</v>
      </c>
      <c r="X25" s="465">
        <v>0</v>
      </c>
      <c r="Y25" s="456">
        <f t="shared" si="10"/>
        <v>0</v>
      </c>
      <c r="Z25" s="465">
        <f t="shared" si="2"/>
        <v>0</v>
      </c>
      <c r="AA25" s="456">
        <f t="shared" si="2"/>
        <v>0</v>
      </c>
      <c r="AB25" s="456"/>
      <c r="AC25" s="465">
        <f t="shared" si="3"/>
        <v>38.101999999999997</v>
      </c>
      <c r="AD25" s="456">
        <f t="shared" si="3"/>
        <v>1515.69</v>
      </c>
      <c r="AE25" s="465">
        <f t="shared" si="3"/>
        <v>24</v>
      </c>
      <c r="AF25" s="456">
        <f t="shared" si="3"/>
        <v>1432.08</v>
      </c>
      <c r="AG25" s="465">
        <f t="shared" si="4"/>
        <v>62.101999999999997</v>
      </c>
      <c r="AH25" s="456">
        <f t="shared" si="4"/>
        <v>2947.77</v>
      </c>
      <c r="AJ25" s="466">
        <v>37.89</v>
      </c>
      <c r="AK25" s="467">
        <v>39.78</v>
      </c>
      <c r="AM25" s="264">
        <f t="shared" si="11"/>
        <v>29.560179999999999</v>
      </c>
      <c r="AN25" s="264">
        <f t="shared" si="12"/>
        <v>24</v>
      </c>
      <c r="AO25" s="264">
        <f t="shared" si="14"/>
        <v>53.560180000000003</v>
      </c>
      <c r="AP25" s="264">
        <v>2080</v>
      </c>
    </row>
    <row r="26" spans="1:42" ht="17.45" customHeight="1" x14ac:dyDescent="0.4">
      <c r="A26" s="453" t="s">
        <v>309</v>
      </c>
      <c r="B26" s="453">
        <v>170</v>
      </c>
      <c r="C26" s="454" t="s">
        <v>311</v>
      </c>
      <c r="D26" s="454" t="s">
        <v>563</v>
      </c>
      <c r="E26" s="453" t="s">
        <v>293</v>
      </c>
      <c r="F26" s="464">
        <v>27.1</v>
      </c>
      <c r="G26" s="464" t="s">
        <v>151</v>
      </c>
      <c r="H26" s="465">
        <v>4</v>
      </c>
      <c r="I26" s="456">
        <f t="shared" si="5"/>
        <v>108.4</v>
      </c>
      <c r="J26" s="465">
        <v>0</v>
      </c>
      <c r="K26" s="456">
        <f t="shared" si="6"/>
        <v>0</v>
      </c>
      <c r="L26" s="465">
        <f t="shared" si="0"/>
        <v>4</v>
      </c>
      <c r="M26" s="456">
        <f t="shared" si="0"/>
        <v>108.4</v>
      </c>
      <c r="O26" s="465">
        <v>0</v>
      </c>
      <c r="P26" s="456">
        <f t="shared" si="7"/>
        <v>0</v>
      </c>
      <c r="Q26" s="465">
        <v>0</v>
      </c>
      <c r="R26" s="456">
        <f t="shared" si="8"/>
        <v>0</v>
      </c>
      <c r="S26" s="465">
        <f t="shared" si="1"/>
        <v>0</v>
      </c>
      <c r="T26" s="456">
        <f t="shared" si="1"/>
        <v>0</v>
      </c>
      <c r="U26" s="456"/>
      <c r="V26" s="465">
        <v>0</v>
      </c>
      <c r="W26" s="456">
        <f t="shared" si="9"/>
        <v>0</v>
      </c>
      <c r="X26" s="465">
        <v>0</v>
      </c>
      <c r="Y26" s="456">
        <f t="shared" si="10"/>
        <v>0</v>
      </c>
      <c r="Z26" s="465">
        <f t="shared" si="2"/>
        <v>0</v>
      </c>
      <c r="AA26" s="456">
        <f t="shared" si="2"/>
        <v>0</v>
      </c>
      <c r="AB26" s="456"/>
      <c r="AC26" s="465">
        <f t="shared" si="3"/>
        <v>4</v>
      </c>
      <c r="AD26" s="456">
        <f t="shared" si="3"/>
        <v>108.4</v>
      </c>
      <c r="AE26" s="465">
        <f t="shared" si="3"/>
        <v>0</v>
      </c>
      <c r="AF26" s="456">
        <f t="shared" si="3"/>
        <v>0</v>
      </c>
      <c r="AG26" s="465">
        <f t="shared" si="4"/>
        <v>4</v>
      </c>
      <c r="AH26" s="456">
        <f t="shared" si="4"/>
        <v>108.4</v>
      </c>
      <c r="AJ26" s="466">
        <v>25.81</v>
      </c>
      <c r="AK26" s="467">
        <v>27.1</v>
      </c>
      <c r="AM26" s="264">
        <f t="shared" si="11"/>
        <v>4</v>
      </c>
      <c r="AN26" s="264">
        <f t="shared" si="12"/>
        <v>0</v>
      </c>
      <c r="AO26" s="264">
        <f t="shared" si="14"/>
        <v>4</v>
      </c>
      <c r="AP26" s="264">
        <v>2080</v>
      </c>
    </row>
    <row r="27" spans="1:42" ht="17.45" customHeight="1" x14ac:dyDescent="0.4">
      <c r="C27" s="454" t="s">
        <v>564</v>
      </c>
      <c r="D27" s="454" t="s">
        <v>565</v>
      </c>
      <c r="E27" s="453" t="s">
        <v>293</v>
      </c>
      <c r="F27" s="464">
        <v>27.1</v>
      </c>
      <c r="G27" s="464" t="s">
        <v>151</v>
      </c>
      <c r="H27" s="465">
        <v>23</v>
      </c>
      <c r="I27" s="456">
        <f t="shared" si="5"/>
        <v>623.29999999999995</v>
      </c>
      <c r="J27" s="465">
        <v>0.5</v>
      </c>
      <c r="K27" s="456">
        <f t="shared" si="6"/>
        <v>20.329999999999998</v>
      </c>
      <c r="L27" s="465">
        <f t="shared" si="0"/>
        <v>23.5</v>
      </c>
      <c r="M27" s="456">
        <f t="shared" si="0"/>
        <v>643.63</v>
      </c>
      <c r="O27" s="465">
        <v>0</v>
      </c>
      <c r="P27" s="456">
        <f t="shared" si="7"/>
        <v>0</v>
      </c>
      <c r="Q27" s="465">
        <v>0</v>
      </c>
      <c r="R27" s="456">
        <f t="shared" si="8"/>
        <v>0</v>
      </c>
      <c r="S27" s="465">
        <f t="shared" si="1"/>
        <v>0</v>
      </c>
      <c r="T27" s="456">
        <f t="shared" si="1"/>
        <v>0</v>
      </c>
      <c r="U27" s="456"/>
      <c r="V27" s="465">
        <v>0</v>
      </c>
      <c r="W27" s="456">
        <f t="shared" si="9"/>
        <v>0</v>
      </c>
      <c r="X27" s="465">
        <v>0</v>
      </c>
      <c r="Y27" s="456">
        <f t="shared" si="10"/>
        <v>0</v>
      </c>
      <c r="Z27" s="465">
        <f t="shared" si="2"/>
        <v>0</v>
      </c>
      <c r="AA27" s="456">
        <f t="shared" si="2"/>
        <v>0</v>
      </c>
      <c r="AB27" s="456"/>
      <c r="AC27" s="465">
        <f t="shared" si="3"/>
        <v>23</v>
      </c>
      <c r="AD27" s="456">
        <f t="shared" si="3"/>
        <v>623.29999999999995</v>
      </c>
      <c r="AE27" s="465">
        <f t="shared" si="3"/>
        <v>0.5</v>
      </c>
      <c r="AF27" s="456">
        <f t="shared" si="3"/>
        <v>20.329999999999998</v>
      </c>
      <c r="AG27" s="465">
        <f t="shared" si="4"/>
        <v>23.5</v>
      </c>
      <c r="AH27" s="456">
        <f t="shared" si="4"/>
        <v>643.63</v>
      </c>
      <c r="AJ27" s="466">
        <v>25.81</v>
      </c>
      <c r="AK27" s="467">
        <v>27.1</v>
      </c>
      <c r="AM27" s="264">
        <f t="shared" si="11"/>
        <v>23</v>
      </c>
      <c r="AN27" s="264">
        <f t="shared" si="12"/>
        <v>0.5</v>
      </c>
      <c r="AO27" s="264">
        <f t="shared" si="14"/>
        <v>23.5</v>
      </c>
      <c r="AP27" s="264">
        <v>2080</v>
      </c>
    </row>
    <row r="28" spans="1:42" ht="17.45" customHeight="1" x14ac:dyDescent="0.4">
      <c r="A28" s="453" t="s">
        <v>296</v>
      </c>
      <c r="B28" s="453">
        <v>109</v>
      </c>
      <c r="C28" s="454" t="s">
        <v>566</v>
      </c>
      <c r="D28" s="454" t="s">
        <v>541</v>
      </c>
      <c r="E28" s="453" t="s">
        <v>293</v>
      </c>
      <c r="F28" s="464">
        <v>46.44</v>
      </c>
      <c r="G28" s="464" t="s">
        <v>151</v>
      </c>
      <c r="H28" s="465">
        <v>0</v>
      </c>
      <c r="I28" s="456">
        <f t="shared" si="5"/>
        <v>0</v>
      </c>
      <c r="J28" s="465">
        <v>0</v>
      </c>
      <c r="K28" s="456">
        <f t="shared" si="6"/>
        <v>0</v>
      </c>
      <c r="L28" s="465">
        <f t="shared" si="0"/>
        <v>0</v>
      </c>
      <c r="M28" s="456">
        <f t="shared" si="0"/>
        <v>0</v>
      </c>
      <c r="O28" s="465">
        <v>13</v>
      </c>
      <c r="P28" s="456">
        <f t="shared" si="7"/>
        <v>603.72</v>
      </c>
      <c r="Q28" s="465">
        <v>0</v>
      </c>
      <c r="R28" s="456">
        <f t="shared" si="8"/>
        <v>0</v>
      </c>
      <c r="S28" s="465">
        <f t="shared" si="1"/>
        <v>13</v>
      </c>
      <c r="T28" s="456">
        <f t="shared" si="1"/>
        <v>603.72</v>
      </c>
      <c r="U28" s="456"/>
      <c r="V28" s="465">
        <v>0</v>
      </c>
      <c r="W28" s="456">
        <f t="shared" si="9"/>
        <v>0</v>
      </c>
      <c r="X28" s="465">
        <v>0</v>
      </c>
      <c r="Y28" s="456">
        <f t="shared" si="10"/>
        <v>0</v>
      </c>
      <c r="Z28" s="465">
        <f t="shared" si="2"/>
        <v>0</v>
      </c>
      <c r="AA28" s="456">
        <f t="shared" si="2"/>
        <v>0</v>
      </c>
      <c r="AB28" s="456"/>
      <c r="AC28" s="465">
        <f t="shared" si="3"/>
        <v>13</v>
      </c>
      <c r="AD28" s="456">
        <f t="shared" si="3"/>
        <v>603.72</v>
      </c>
      <c r="AE28" s="465">
        <f t="shared" si="3"/>
        <v>0</v>
      </c>
      <c r="AF28" s="456">
        <f t="shared" si="3"/>
        <v>0</v>
      </c>
      <c r="AG28" s="465">
        <f t="shared" si="4"/>
        <v>13</v>
      </c>
      <c r="AH28" s="456">
        <f t="shared" si="4"/>
        <v>603.72</v>
      </c>
      <c r="AJ28" s="466">
        <v>44.23</v>
      </c>
      <c r="AK28" s="467">
        <v>46.44</v>
      </c>
      <c r="AM28" s="264">
        <f t="shared" si="11"/>
        <v>0</v>
      </c>
      <c r="AN28" s="264">
        <f t="shared" si="12"/>
        <v>0</v>
      </c>
      <c r="AO28" s="264">
        <f t="shared" si="14"/>
        <v>0</v>
      </c>
      <c r="AP28" s="264">
        <v>2080</v>
      </c>
    </row>
    <row r="29" spans="1:42" ht="17.45" customHeight="1" x14ac:dyDescent="0.4">
      <c r="A29" s="453" t="s">
        <v>296</v>
      </c>
      <c r="B29" s="453">
        <v>201</v>
      </c>
      <c r="C29" s="455" t="s">
        <v>567</v>
      </c>
      <c r="D29" s="454" t="s">
        <v>568</v>
      </c>
      <c r="E29" s="453" t="s">
        <v>293</v>
      </c>
      <c r="F29" s="464">
        <v>40.130000000000003</v>
      </c>
      <c r="G29" s="464" t="s">
        <v>151</v>
      </c>
      <c r="H29" s="465">
        <v>47</v>
      </c>
      <c r="I29" s="456">
        <f t="shared" si="5"/>
        <v>1886.11</v>
      </c>
      <c r="J29" s="465">
        <v>1</v>
      </c>
      <c r="K29" s="456">
        <f t="shared" si="6"/>
        <v>60.2</v>
      </c>
      <c r="L29" s="465">
        <f t="shared" si="0"/>
        <v>48</v>
      </c>
      <c r="M29" s="456">
        <f t="shared" si="0"/>
        <v>1946.31</v>
      </c>
      <c r="O29" s="465">
        <v>11</v>
      </c>
      <c r="P29" s="456">
        <f t="shared" si="7"/>
        <v>441.43</v>
      </c>
      <c r="Q29" s="465">
        <v>0.5</v>
      </c>
      <c r="R29" s="456">
        <f t="shared" si="8"/>
        <v>30.1</v>
      </c>
      <c r="S29" s="465">
        <f t="shared" si="1"/>
        <v>11.5</v>
      </c>
      <c r="T29" s="456">
        <f t="shared" si="1"/>
        <v>471.53000000000003</v>
      </c>
      <c r="U29" s="456"/>
      <c r="V29" s="465">
        <v>0</v>
      </c>
      <c r="W29" s="456">
        <f t="shared" si="9"/>
        <v>0</v>
      </c>
      <c r="X29" s="465">
        <v>0</v>
      </c>
      <c r="Y29" s="456">
        <f t="shared" si="10"/>
        <v>0</v>
      </c>
      <c r="Z29" s="465">
        <f t="shared" si="2"/>
        <v>0</v>
      </c>
      <c r="AA29" s="456">
        <f t="shared" si="2"/>
        <v>0</v>
      </c>
      <c r="AB29" s="456"/>
      <c r="AC29" s="465">
        <f t="shared" si="3"/>
        <v>58</v>
      </c>
      <c r="AD29" s="456">
        <f t="shared" si="3"/>
        <v>2327.54</v>
      </c>
      <c r="AE29" s="465">
        <f t="shared" si="3"/>
        <v>1.5</v>
      </c>
      <c r="AF29" s="456">
        <f t="shared" si="3"/>
        <v>90.300000000000011</v>
      </c>
      <c r="AG29" s="465">
        <f t="shared" si="4"/>
        <v>59.5</v>
      </c>
      <c r="AH29" s="456">
        <f t="shared" si="4"/>
        <v>2417.84</v>
      </c>
      <c r="AJ29" s="466">
        <v>38.22</v>
      </c>
      <c r="AK29" s="467">
        <v>40.130000000000003</v>
      </c>
      <c r="AM29" s="264">
        <f t="shared" si="11"/>
        <v>47</v>
      </c>
      <c r="AN29" s="264">
        <f t="shared" si="12"/>
        <v>1</v>
      </c>
      <c r="AO29" s="264">
        <f t="shared" si="14"/>
        <v>48</v>
      </c>
      <c r="AP29" s="264">
        <v>2080</v>
      </c>
    </row>
    <row r="30" spans="1:42" ht="17.45" customHeight="1" x14ac:dyDescent="0.4">
      <c r="A30" s="453" t="s">
        <v>317</v>
      </c>
      <c r="B30" s="453">
        <v>49</v>
      </c>
      <c r="C30" s="454" t="s">
        <v>318</v>
      </c>
      <c r="D30" s="454" t="s">
        <v>569</v>
      </c>
      <c r="E30" s="453" t="s">
        <v>293</v>
      </c>
      <c r="F30" s="464">
        <v>22.14</v>
      </c>
      <c r="G30" s="464" t="s">
        <v>151</v>
      </c>
      <c r="H30" s="465">
        <v>7.5</v>
      </c>
      <c r="I30" s="456">
        <f t="shared" si="5"/>
        <v>166.05</v>
      </c>
      <c r="J30" s="465">
        <v>1.5</v>
      </c>
      <c r="K30" s="456">
        <f t="shared" si="6"/>
        <v>49.82</v>
      </c>
      <c r="L30" s="465">
        <f t="shared" si="0"/>
        <v>9</v>
      </c>
      <c r="M30" s="456">
        <f t="shared" si="0"/>
        <v>215.87</v>
      </c>
      <c r="O30" s="465">
        <v>0</v>
      </c>
      <c r="P30" s="456">
        <f t="shared" si="7"/>
        <v>0</v>
      </c>
      <c r="Q30" s="465">
        <v>0</v>
      </c>
      <c r="R30" s="456">
        <f t="shared" si="8"/>
        <v>0</v>
      </c>
      <c r="S30" s="465">
        <f t="shared" si="1"/>
        <v>0</v>
      </c>
      <c r="T30" s="456">
        <f t="shared" si="1"/>
        <v>0</v>
      </c>
      <c r="U30" s="456"/>
      <c r="V30" s="465">
        <v>0</v>
      </c>
      <c r="W30" s="456">
        <f t="shared" si="9"/>
        <v>0</v>
      </c>
      <c r="X30" s="465">
        <v>0</v>
      </c>
      <c r="Y30" s="456">
        <f t="shared" si="10"/>
        <v>0</v>
      </c>
      <c r="Z30" s="465">
        <f t="shared" si="2"/>
        <v>0</v>
      </c>
      <c r="AA30" s="456">
        <f t="shared" si="2"/>
        <v>0</v>
      </c>
      <c r="AB30" s="456"/>
      <c r="AC30" s="465">
        <f t="shared" si="3"/>
        <v>7.5</v>
      </c>
      <c r="AD30" s="456">
        <f t="shared" si="3"/>
        <v>166.05</v>
      </c>
      <c r="AE30" s="465">
        <f t="shared" si="3"/>
        <v>1.5</v>
      </c>
      <c r="AF30" s="456">
        <f t="shared" si="3"/>
        <v>49.82</v>
      </c>
      <c r="AG30" s="465">
        <f t="shared" si="4"/>
        <v>9</v>
      </c>
      <c r="AH30" s="456">
        <f t="shared" si="4"/>
        <v>215.87</v>
      </c>
      <c r="AJ30" s="466">
        <v>21.09</v>
      </c>
      <c r="AK30" s="467">
        <v>22.14</v>
      </c>
      <c r="AM30" s="264">
        <f t="shared" si="11"/>
        <v>7.5</v>
      </c>
      <c r="AN30" s="264">
        <f t="shared" si="12"/>
        <v>1.5</v>
      </c>
      <c r="AO30" s="264">
        <f t="shared" si="14"/>
        <v>9</v>
      </c>
      <c r="AP30" s="264">
        <v>2080</v>
      </c>
    </row>
    <row r="31" spans="1:42" ht="17.45" customHeight="1" x14ac:dyDescent="0.4">
      <c r="A31" s="453" t="s">
        <v>324</v>
      </c>
      <c r="B31" s="453">
        <v>41</v>
      </c>
      <c r="C31" s="454" t="s">
        <v>325</v>
      </c>
      <c r="D31" s="454" t="s">
        <v>570</v>
      </c>
      <c r="E31" s="453" t="s">
        <v>293</v>
      </c>
      <c r="F31" s="464">
        <v>31.05</v>
      </c>
      <c r="G31" s="464" t="s">
        <v>151</v>
      </c>
      <c r="H31" s="465">
        <v>516.30967999999996</v>
      </c>
      <c r="I31" s="456">
        <f t="shared" si="5"/>
        <v>16031.42</v>
      </c>
      <c r="J31" s="465">
        <v>67.616039999999998</v>
      </c>
      <c r="K31" s="456">
        <f t="shared" si="6"/>
        <v>3149.22</v>
      </c>
      <c r="L31" s="465">
        <f t="shared" si="0"/>
        <v>583.92571999999996</v>
      </c>
      <c r="M31" s="456">
        <f t="shared" si="0"/>
        <v>19180.64</v>
      </c>
      <c r="O31" s="465">
        <v>351.84231999999997</v>
      </c>
      <c r="P31" s="456">
        <f t="shared" si="7"/>
        <v>10924.7</v>
      </c>
      <c r="Q31" s="465">
        <v>46.639959999999995</v>
      </c>
      <c r="R31" s="456">
        <f t="shared" si="8"/>
        <v>2172.2600000000002</v>
      </c>
      <c r="S31" s="465">
        <f t="shared" si="1"/>
        <v>398.48227999999995</v>
      </c>
      <c r="T31" s="456">
        <f t="shared" si="1"/>
        <v>13096.960000000001</v>
      </c>
      <c r="U31" s="456"/>
      <c r="V31" s="465">
        <v>0</v>
      </c>
      <c r="W31" s="456">
        <f t="shared" si="9"/>
        <v>0</v>
      </c>
      <c r="X31" s="465">
        <v>0</v>
      </c>
      <c r="Y31" s="456">
        <f t="shared" si="10"/>
        <v>0</v>
      </c>
      <c r="Z31" s="465">
        <f t="shared" si="2"/>
        <v>0</v>
      </c>
      <c r="AA31" s="456">
        <f t="shared" si="2"/>
        <v>0</v>
      </c>
      <c r="AB31" s="456"/>
      <c r="AC31" s="465">
        <f t="shared" si="3"/>
        <v>868.15199999999993</v>
      </c>
      <c r="AD31" s="456">
        <f t="shared" si="3"/>
        <v>26956.120000000003</v>
      </c>
      <c r="AE31" s="465">
        <f t="shared" si="3"/>
        <v>114.256</v>
      </c>
      <c r="AF31" s="456">
        <f t="shared" si="3"/>
        <v>5321.48</v>
      </c>
      <c r="AG31" s="465">
        <f t="shared" si="4"/>
        <v>982.4079999999999</v>
      </c>
      <c r="AH31" s="456">
        <f t="shared" si="4"/>
        <v>32277.600000000002</v>
      </c>
      <c r="AJ31" s="466">
        <v>29.57</v>
      </c>
      <c r="AK31" s="467">
        <v>31.05</v>
      </c>
      <c r="AM31" s="264">
        <f t="shared" si="11"/>
        <v>516.30967999999996</v>
      </c>
      <c r="AN31" s="264">
        <f t="shared" si="12"/>
        <v>67.616039999999998</v>
      </c>
      <c r="AO31" s="264">
        <f t="shared" si="14"/>
        <v>583.92571999999996</v>
      </c>
      <c r="AP31" s="264">
        <v>2080</v>
      </c>
    </row>
    <row r="32" spans="1:42" ht="17.45" customHeight="1" x14ac:dyDescent="0.4">
      <c r="A32" s="453" t="s">
        <v>309</v>
      </c>
      <c r="B32" s="453">
        <v>68</v>
      </c>
      <c r="C32" s="455" t="s">
        <v>571</v>
      </c>
      <c r="D32" s="454" t="s">
        <v>572</v>
      </c>
      <c r="E32" s="453" t="s">
        <v>293</v>
      </c>
      <c r="F32" s="464">
        <v>44.15</v>
      </c>
      <c r="G32" s="464" t="s">
        <v>151</v>
      </c>
      <c r="H32" s="465">
        <v>7.5</v>
      </c>
      <c r="I32" s="456">
        <f t="shared" si="5"/>
        <v>331.13</v>
      </c>
      <c r="J32" s="465">
        <v>0</v>
      </c>
      <c r="K32" s="456">
        <f t="shared" si="6"/>
        <v>0</v>
      </c>
      <c r="L32" s="465">
        <f t="shared" si="0"/>
        <v>7.5</v>
      </c>
      <c r="M32" s="456">
        <f t="shared" si="0"/>
        <v>331.13</v>
      </c>
      <c r="O32" s="465">
        <v>33.5</v>
      </c>
      <c r="P32" s="456">
        <f t="shared" si="7"/>
        <v>1479.03</v>
      </c>
      <c r="Q32" s="465">
        <v>16.5</v>
      </c>
      <c r="R32" s="456">
        <f t="shared" si="8"/>
        <v>1092.71</v>
      </c>
      <c r="S32" s="465">
        <f t="shared" si="1"/>
        <v>50</v>
      </c>
      <c r="T32" s="456">
        <f t="shared" si="1"/>
        <v>2571.7399999999998</v>
      </c>
      <c r="U32" s="456"/>
      <c r="V32" s="465">
        <v>0</v>
      </c>
      <c r="W32" s="456">
        <f t="shared" si="9"/>
        <v>0</v>
      </c>
      <c r="X32" s="465">
        <v>0</v>
      </c>
      <c r="Y32" s="456">
        <f t="shared" si="10"/>
        <v>0</v>
      </c>
      <c r="Z32" s="465">
        <f t="shared" si="2"/>
        <v>0</v>
      </c>
      <c r="AA32" s="456">
        <f t="shared" si="2"/>
        <v>0</v>
      </c>
      <c r="AB32" s="456"/>
      <c r="AC32" s="465">
        <f t="shared" si="3"/>
        <v>41</v>
      </c>
      <c r="AD32" s="456">
        <f t="shared" si="3"/>
        <v>1810.1599999999999</v>
      </c>
      <c r="AE32" s="465">
        <f t="shared" si="3"/>
        <v>16.5</v>
      </c>
      <c r="AF32" s="456">
        <f t="shared" si="3"/>
        <v>1092.71</v>
      </c>
      <c r="AG32" s="465">
        <f t="shared" si="4"/>
        <v>57.5</v>
      </c>
      <c r="AH32" s="456">
        <f t="shared" si="4"/>
        <v>2902.87</v>
      </c>
      <c r="AJ32" s="466">
        <v>42.05</v>
      </c>
      <c r="AK32" s="467">
        <v>44.15</v>
      </c>
      <c r="AM32" s="264">
        <f t="shared" si="11"/>
        <v>7.5</v>
      </c>
      <c r="AN32" s="264">
        <f t="shared" si="12"/>
        <v>0</v>
      </c>
      <c r="AO32" s="264">
        <f t="shared" si="14"/>
        <v>7.5</v>
      </c>
      <c r="AP32" s="264">
        <v>2080</v>
      </c>
    </row>
    <row r="33" spans="1:42" ht="17.45" customHeight="1" x14ac:dyDescent="0.4">
      <c r="A33" s="453" t="s">
        <v>309</v>
      </c>
      <c r="B33" s="453">
        <v>30</v>
      </c>
      <c r="C33" s="454" t="s">
        <v>310</v>
      </c>
      <c r="D33" s="454" t="s">
        <v>573</v>
      </c>
      <c r="E33" s="453" t="s">
        <v>293</v>
      </c>
      <c r="F33" s="464">
        <v>33</v>
      </c>
      <c r="G33" s="464" t="s">
        <v>151</v>
      </c>
      <c r="H33" s="465">
        <v>0</v>
      </c>
      <c r="I33" s="456">
        <f t="shared" si="5"/>
        <v>0</v>
      </c>
      <c r="J33" s="465">
        <v>0</v>
      </c>
      <c r="K33" s="456">
        <f t="shared" si="6"/>
        <v>0</v>
      </c>
      <c r="L33" s="465">
        <f t="shared" si="0"/>
        <v>0</v>
      </c>
      <c r="M33" s="456">
        <f t="shared" si="0"/>
        <v>0</v>
      </c>
      <c r="O33" s="465">
        <v>0.5</v>
      </c>
      <c r="P33" s="456">
        <f t="shared" si="7"/>
        <v>16.5</v>
      </c>
      <c r="Q33" s="465">
        <v>0</v>
      </c>
      <c r="R33" s="456">
        <f t="shared" si="8"/>
        <v>0</v>
      </c>
      <c r="S33" s="465">
        <f t="shared" si="1"/>
        <v>0.5</v>
      </c>
      <c r="T33" s="456">
        <f t="shared" si="1"/>
        <v>16.5</v>
      </c>
      <c r="U33" s="456"/>
      <c r="V33" s="465">
        <v>0</v>
      </c>
      <c r="W33" s="456">
        <f t="shared" si="9"/>
        <v>0</v>
      </c>
      <c r="X33" s="465">
        <v>0</v>
      </c>
      <c r="Y33" s="456">
        <f t="shared" si="10"/>
        <v>0</v>
      </c>
      <c r="Z33" s="465">
        <f t="shared" si="2"/>
        <v>0</v>
      </c>
      <c r="AA33" s="456">
        <f t="shared" si="2"/>
        <v>0</v>
      </c>
      <c r="AB33" s="456"/>
      <c r="AC33" s="465">
        <f t="shared" si="3"/>
        <v>0.5</v>
      </c>
      <c r="AD33" s="456">
        <f t="shared" si="3"/>
        <v>16.5</v>
      </c>
      <c r="AE33" s="465">
        <f t="shared" si="3"/>
        <v>0</v>
      </c>
      <c r="AF33" s="456">
        <f t="shared" si="3"/>
        <v>0</v>
      </c>
      <c r="AG33" s="465">
        <f t="shared" si="4"/>
        <v>0.5</v>
      </c>
      <c r="AH33" s="456">
        <f t="shared" si="4"/>
        <v>16.5</v>
      </c>
      <c r="AJ33" s="466">
        <v>31.43</v>
      </c>
      <c r="AK33" s="467">
        <v>33</v>
      </c>
      <c r="AM33" s="264">
        <f t="shared" si="11"/>
        <v>0</v>
      </c>
      <c r="AN33" s="264">
        <f t="shared" si="12"/>
        <v>0</v>
      </c>
      <c r="AO33" s="264">
        <f t="shared" si="14"/>
        <v>0</v>
      </c>
      <c r="AP33" s="264">
        <v>2080</v>
      </c>
    </row>
    <row r="34" spans="1:42" ht="17.45" customHeight="1" x14ac:dyDescent="0.4">
      <c r="A34" s="453" t="s">
        <v>313</v>
      </c>
      <c r="B34" s="453">
        <v>228</v>
      </c>
      <c r="C34" s="454" t="s">
        <v>574</v>
      </c>
      <c r="D34" s="454" t="s">
        <v>575</v>
      </c>
      <c r="E34" s="453" t="s">
        <v>293</v>
      </c>
      <c r="F34" s="464">
        <v>32.520000000000003</v>
      </c>
      <c r="G34" s="464" t="s">
        <v>151</v>
      </c>
      <c r="H34" s="465">
        <v>102.90779999999998</v>
      </c>
      <c r="I34" s="456">
        <f t="shared" si="5"/>
        <v>3346.56</v>
      </c>
      <c r="J34" s="465">
        <v>0.24071999999999996</v>
      </c>
      <c r="K34" s="456">
        <f t="shared" si="6"/>
        <v>11.74</v>
      </c>
      <c r="L34" s="465">
        <f t="shared" si="0"/>
        <v>103.14851999999998</v>
      </c>
      <c r="M34" s="456">
        <f t="shared" si="0"/>
        <v>3358.2999999999997</v>
      </c>
      <c r="O34" s="465">
        <v>71.512199999999993</v>
      </c>
      <c r="P34" s="456">
        <f t="shared" si="7"/>
        <v>2325.58</v>
      </c>
      <c r="Q34" s="465">
        <v>0.16727999999999998</v>
      </c>
      <c r="R34" s="456">
        <f t="shared" si="8"/>
        <v>8.16</v>
      </c>
      <c r="S34" s="465">
        <f t="shared" si="1"/>
        <v>71.679479999999998</v>
      </c>
      <c r="T34" s="456">
        <f t="shared" si="1"/>
        <v>2333.7399999999998</v>
      </c>
      <c r="U34" s="456"/>
      <c r="V34" s="465">
        <v>0</v>
      </c>
      <c r="W34" s="456">
        <f t="shared" si="9"/>
        <v>0</v>
      </c>
      <c r="X34" s="465">
        <v>0</v>
      </c>
      <c r="Y34" s="456">
        <f t="shared" si="10"/>
        <v>0</v>
      </c>
      <c r="Z34" s="465">
        <f t="shared" si="2"/>
        <v>0</v>
      </c>
      <c r="AA34" s="456">
        <f t="shared" si="2"/>
        <v>0</v>
      </c>
      <c r="AB34" s="456"/>
      <c r="AC34" s="465">
        <f t="shared" si="3"/>
        <v>174.41999999999996</v>
      </c>
      <c r="AD34" s="456">
        <f t="shared" si="3"/>
        <v>5672.1399999999994</v>
      </c>
      <c r="AE34" s="465">
        <f t="shared" si="3"/>
        <v>0.40799999999999992</v>
      </c>
      <c r="AF34" s="456">
        <f t="shared" si="3"/>
        <v>19.899999999999999</v>
      </c>
      <c r="AG34" s="465">
        <f t="shared" si="4"/>
        <v>174.82799999999995</v>
      </c>
      <c r="AH34" s="456">
        <f t="shared" si="4"/>
        <v>5692.0399999999991</v>
      </c>
      <c r="AJ34" s="466">
        <v>30.97</v>
      </c>
      <c r="AK34" s="467">
        <v>32.520000000000003</v>
      </c>
      <c r="AM34" s="264">
        <f t="shared" si="11"/>
        <v>102.90779999999998</v>
      </c>
      <c r="AN34" s="264">
        <f t="shared" si="12"/>
        <v>0.24071999999999996</v>
      </c>
      <c r="AO34" s="264">
        <f t="shared" si="14"/>
        <v>103.14851999999998</v>
      </c>
      <c r="AP34" s="264">
        <v>2080</v>
      </c>
    </row>
    <row r="35" spans="1:42" ht="17.45" customHeight="1" x14ac:dyDescent="0.4">
      <c r="A35" s="453" t="s">
        <v>313</v>
      </c>
      <c r="B35" s="453">
        <v>214</v>
      </c>
      <c r="C35" s="454" t="s">
        <v>316</v>
      </c>
      <c r="D35" s="454" t="s">
        <v>576</v>
      </c>
      <c r="E35" s="453" t="s">
        <v>293</v>
      </c>
      <c r="F35" s="464">
        <v>7403.26</v>
      </c>
      <c r="G35" s="464" t="s">
        <v>294</v>
      </c>
      <c r="H35" s="465">
        <v>42.533999999999999</v>
      </c>
      <c r="I35" s="456">
        <f t="shared" si="5"/>
        <v>3936.13</v>
      </c>
      <c r="J35" s="465">
        <v>0</v>
      </c>
      <c r="K35" s="456">
        <f t="shared" si="6"/>
        <v>0</v>
      </c>
      <c r="L35" s="465">
        <f t="shared" si="0"/>
        <v>42.533999999999999</v>
      </c>
      <c r="M35" s="456">
        <f t="shared" si="0"/>
        <v>3936.13</v>
      </c>
      <c r="O35" s="465">
        <v>99.245999999999995</v>
      </c>
      <c r="P35" s="456">
        <f t="shared" si="7"/>
        <v>9184.2999999999993</v>
      </c>
      <c r="Q35" s="465">
        <v>0</v>
      </c>
      <c r="R35" s="456">
        <f t="shared" si="8"/>
        <v>0</v>
      </c>
      <c r="S35" s="465">
        <f t="shared" si="1"/>
        <v>99.245999999999995</v>
      </c>
      <c r="T35" s="456">
        <f t="shared" si="1"/>
        <v>9184.2999999999993</v>
      </c>
      <c r="U35" s="456"/>
      <c r="V35" s="465">
        <v>0</v>
      </c>
      <c r="W35" s="456">
        <f t="shared" si="9"/>
        <v>0</v>
      </c>
      <c r="X35" s="465">
        <v>0</v>
      </c>
      <c r="Y35" s="456">
        <f t="shared" si="10"/>
        <v>0</v>
      </c>
      <c r="Z35" s="465">
        <f t="shared" si="2"/>
        <v>0</v>
      </c>
      <c r="AA35" s="456">
        <f t="shared" si="2"/>
        <v>0</v>
      </c>
      <c r="AB35" s="456"/>
      <c r="AC35" s="465">
        <f t="shared" si="3"/>
        <v>141.78</v>
      </c>
      <c r="AD35" s="456">
        <f t="shared" si="3"/>
        <v>13120.43</v>
      </c>
      <c r="AE35" s="465">
        <f t="shared" si="3"/>
        <v>0</v>
      </c>
      <c r="AF35" s="456">
        <f t="shared" si="3"/>
        <v>0</v>
      </c>
      <c r="AG35" s="465">
        <f t="shared" si="4"/>
        <v>141.78</v>
      </c>
      <c r="AH35" s="456">
        <f t="shared" si="4"/>
        <v>13120.43</v>
      </c>
      <c r="AJ35" s="466">
        <v>7050.72</v>
      </c>
      <c r="AK35" s="467">
        <v>7403.26</v>
      </c>
      <c r="AM35" s="264">
        <f t="shared" si="11"/>
        <v>42.533999999999999</v>
      </c>
      <c r="AN35" s="264">
        <f t="shared" si="12"/>
        <v>0</v>
      </c>
      <c r="AO35" s="264">
        <f t="shared" si="14"/>
        <v>42.533999999999999</v>
      </c>
      <c r="AP35" s="264">
        <v>2080</v>
      </c>
    </row>
    <row r="36" spans="1:42" ht="17.45" customHeight="1" x14ac:dyDescent="0.4">
      <c r="A36" s="453" t="s">
        <v>292</v>
      </c>
      <c r="B36" s="453">
        <v>198</v>
      </c>
      <c r="C36" s="454" t="s">
        <v>295</v>
      </c>
      <c r="D36" s="454" t="s">
        <v>577</v>
      </c>
      <c r="E36" s="453" t="s">
        <v>293</v>
      </c>
      <c r="F36" s="464">
        <v>2571.77</v>
      </c>
      <c r="G36" s="464" t="s">
        <v>294</v>
      </c>
      <c r="H36" s="465">
        <v>0</v>
      </c>
      <c r="I36" s="456">
        <f t="shared" si="5"/>
        <v>0</v>
      </c>
      <c r="J36" s="465">
        <v>0</v>
      </c>
      <c r="K36" s="456">
        <f t="shared" si="6"/>
        <v>0</v>
      </c>
      <c r="L36" s="465">
        <f t="shared" si="0"/>
        <v>0</v>
      </c>
      <c r="M36" s="456">
        <f t="shared" si="0"/>
        <v>0</v>
      </c>
      <c r="O36" s="465">
        <v>102</v>
      </c>
      <c r="P36" s="456">
        <f t="shared" si="7"/>
        <v>3279.01</v>
      </c>
      <c r="Q36" s="465">
        <v>0</v>
      </c>
      <c r="R36" s="456">
        <f t="shared" si="8"/>
        <v>0</v>
      </c>
      <c r="S36" s="465">
        <f t="shared" si="1"/>
        <v>102</v>
      </c>
      <c r="T36" s="456">
        <f t="shared" si="1"/>
        <v>3279.01</v>
      </c>
      <c r="U36" s="456"/>
      <c r="V36" s="465">
        <v>0</v>
      </c>
      <c r="W36" s="456">
        <f t="shared" si="9"/>
        <v>0</v>
      </c>
      <c r="X36" s="465">
        <v>0</v>
      </c>
      <c r="Y36" s="456">
        <f t="shared" si="10"/>
        <v>0</v>
      </c>
      <c r="Z36" s="465">
        <f t="shared" si="2"/>
        <v>0</v>
      </c>
      <c r="AA36" s="456">
        <f t="shared" si="2"/>
        <v>0</v>
      </c>
      <c r="AB36" s="456"/>
      <c r="AC36" s="465">
        <f t="shared" si="3"/>
        <v>102</v>
      </c>
      <c r="AD36" s="456">
        <f t="shared" si="3"/>
        <v>3279.01</v>
      </c>
      <c r="AE36" s="465">
        <f t="shared" si="3"/>
        <v>0</v>
      </c>
      <c r="AF36" s="456">
        <f t="shared" si="3"/>
        <v>0</v>
      </c>
      <c r="AG36" s="465">
        <f t="shared" si="4"/>
        <v>102</v>
      </c>
      <c r="AH36" s="456">
        <f t="shared" si="4"/>
        <v>3279.01</v>
      </c>
      <c r="AJ36" s="466">
        <v>2449.3000000000002</v>
      </c>
      <c r="AK36" s="467">
        <v>2571.77</v>
      </c>
      <c r="AM36" s="264">
        <f t="shared" si="11"/>
        <v>0</v>
      </c>
      <c r="AN36" s="264">
        <f t="shared" si="12"/>
        <v>0</v>
      </c>
      <c r="AO36" s="264">
        <f t="shared" si="14"/>
        <v>0</v>
      </c>
      <c r="AP36" s="264">
        <v>2080</v>
      </c>
    </row>
    <row r="37" spans="1:42" ht="17.45" customHeight="1" x14ac:dyDescent="0.4">
      <c r="A37" s="453" t="s">
        <v>313</v>
      </c>
      <c r="B37" s="453">
        <v>181</v>
      </c>
      <c r="C37" s="455" t="s">
        <v>578</v>
      </c>
      <c r="D37" s="454" t="s">
        <v>579</v>
      </c>
      <c r="E37" s="453" t="s">
        <v>293</v>
      </c>
      <c r="F37" s="464">
        <v>2721.99</v>
      </c>
      <c r="G37" s="464" t="s">
        <v>294</v>
      </c>
      <c r="H37" s="465">
        <v>100.19969999999998</v>
      </c>
      <c r="I37" s="456">
        <f t="shared" si="5"/>
        <v>3409.28</v>
      </c>
      <c r="J37" s="465">
        <v>0</v>
      </c>
      <c r="K37" s="456">
        <f t="shared" si="6"/>
        <v>0</v>
      </c>
      <c r="L37" s="465">
        <f t="shared" si="0"/>
        <v>100.19969999999998</v>
      </c>
      <c r="M37" s="456">
        <f t="shared" si="0"/>
        <v>3409.28</v>
      </c>
      <c r="O37" s="465">
        <v>69.630299999999991</v>
      </c>
      <c r="P37" s="456">
        <f t="shared" si="7"/>
        <v>2369.16</v>
      </c>
      <c r="Q37" s="465">
        <v>0</v>
      </c>
      <c r="R37" s="456">
        <f t="shared" si="8"/>
        <v>0</v>
      </c>
      <c r="S37" s="465">
        <f t="shared" si="1"/>
        <v>69.630299999999991</v>
      </c>
      <c r="T37" s="456">
        <f t="shared" si="1"/>
        <v>2369.16</v>
      </c>
      <c r="U37" s="456"/>
      <c r="V37" s="465">
        <v>0</v>
      </c>
      <c r="W37" s="456">
        <f t="shared" si="9"/>
        <v>0</v>
      </c>
      <c r="X37" s="465">
        <v>0</v>
      </c>
      <c r="Y37" s="456">
        <f t="shared" si="10"/>
        <v>0</v>
      </c>
      <c r="Z37" s="465">
        <f t="shared" si="2"/>
        <v>0</v>
      </c>
      <c r="AA37" s="456">
        <f t="shared" si="2"/>
        <v>0</v>
      </c>
      <c r="AB37" s="456"/>
      <c r="AC37" s="465">
        <f t="shared" si="3"/>
        <v>169.82999999999998</v>
      </c>
      <c r="AD37" s="456">
        <f t="shared" si="3"/>
        <v>5778.4400000000005</v>
      </c>
      <c r="AE37" s="465">
        <f t="shared" si="3"/>
        <v>0</v>
      </c>
      <c r="AF37" s="456">
        <f t="shared" si="3"/>
        <v>0</v>
      </c>
      <c r="AG37" s="465">
        <f t="shared" si="4"/>
        <v>169.82999999999998</v>
      </c>
      <c r="AH37" s="456">
        <f t="shared" si="4"/>
        <v>5778.4400000000005</v>
      </c>
      <c r="AJ37" s="466">
        <v>2592.37</v>
      </c>
      <c r="AK37" s="467">
        <v>2721.99</v>
      </c>
      <c r="AM37" s="264">
        <f t="shared" si="11"/>
        <v>100.19969999999998</v>
      </c>
      <c r="AN37" s="264">
        <f t="shared" si="12"/>
        <v>0</v>
      </c>
      <c r="AO37" s="264">
        <f t="shared" si="14"/>
        <v>100.19969999999998</v>
      </c>
      <c r="AP37" s="264">
        <v>2080</v>
      </c>
    </row>
    <row r="38" spans="1:42" ht="17.45" customHeight="1" x14ac:dyDescent="0.4">
      <c r="A38" s="453" t="s">
        <v>302</v>
      </c>
      <c r="B38" s="453">
        <v>147</v>
      </c>
      <c r="C38" s="454" t="s">
        <v>304</v>
      </c>
      <c r="D38" s="454" t="s">
        <v>580</v>
      </c>
      <c r="E38" s="453" t="s">
        <v>293</v>
      </c>
      <c r="F38" s="464">
        <v>33.869999999999997</v>
      </c>
      <c r="G38" s="464" t="s">
        <v>151</v>
      </c>
      <c r="H38" s="465">
        <v>4</v>
      </c>
      <c r="I38" s="456">
        <f t="shared" si="5"/>
        <v>135.47999999999999</v>
      </c>
      <c r="J38" s="465">
        <v>14</v>
      </c>
      <c r="K38" s="456">
        <f t="shared" si="6"/>
        <v>711.27</v>
      </c>
      <c r="L38" s="465">
        <f t="shared" ref="L38:M71" si="15">+H38+J38</f>
        <v>18</v>
      </c>
      <c r="M38" s="456">
        <f t="shared" si="15"/>
        <v>846.75</v>
      </c>
      <c r="O38" s="465">
        <v>0</v>
      </c>
      <c r="P38" s="456">
        <f t="shared" si="7"/>
        <v>0</v>
      </c>
      <c r="Q38" s="465">
        <v>5.5</v>
      </c>
      <c r="R38" s="456">
        <f t="shared" si="8"/>
        <v>279.43</v>
      </c>
      <c r="S38" s="465">
        <f t="shared" ref="S38:T71" si="16">+O38+Q38</f>
        <v>5.5</v>
      </c>
      <c r="T38" s="456">
        <f t="shared" si="16"/>
        <v>279.43</v>
      </c>
      <c r="U38" s="456"/>
      <c r="V38" s="465">
        <v>0</v>
      </c>
      <c r="W38" s="456">
        <f t="shared" si="9"/>
        <v>0</v>
      </c>
      <c r="X38" s="465">
        <v>0</v>
      </c>
      <c r="Y38" s="456">
        <f t="shared" si="10"/>
        <v>0</v>
      </c>
      <c r="Z38" s="465">
        <f t="shared" ref="Z38:AA71" si="17">+V38+X38</f>
        <v>0</v>
      </c>
      <c r="AA38" s="456">
        <f t="shared" si="17"/>
        <v>0</v>
      </c>
      <c r="AB38" s="456"/>
      <c r="AC38" s="465">
        <f t="shared" ref="AC38:AF71" si="18">+H38+O38+V38</f>
        <v>4</v>
      </c>
      <c r="AD38" s="456">
        <f t="shared" si="18"/>
        <v>135.47999999999999</v>
      </c>
      <c r="AE38" s="465">
        <f t="shared" si="18"/>
        <v>19.5</v>
      </c>
      <c r="AF38" s="456">
        <f t="shared" si="18"/>
        <v>990.7</v>
      </c>
      <c r="AG38" s="465">
        <f t="shared" ref="AG38:AH71" si="19">+AC38+AE38</f>
        <v>23.5</v>
      </c>
      <c r="AH38" s="456">
        <f t="shared" si="19"/>
        <v>1126.18</v>
      </c>
      <c r="AJ38" s="466">
        <v>32.26</v>
      </c>
      <c r="AK38" s="467">
        <v>33.869999999999997</v>
      </c>
      <c r="AM38" s="264">
        <f t="shared" si="11"/>
        <v>4</v>
      </c>
      <c r="AN38" s="264">
        <f t="shared" si="12"/>
        <v>14</v>
      </c>
      <c r="AO38" s="264">
        <f t="shared" si="14"/>
        <v>18</v>
      </c>
      <c r="AP38" s="264">
        <v>2080</v>
      </c>
    </row>
    <row r="39" spans="1:42" ht="17.45" customHeight="1" x14ac:dyDescent="0.4">
      <c r="A39" s="453" t="s">
        <v>302</v>
      </c>
      <c r="B39" s="453">
        <v>168</v>
      </c>
      <c r="C39" s="454" t="s">
        <v>304</v>
      </c>
      <c r="D39" s="454" t="s">
        <v>581</v>
      </c>
      <c r="E39" s="453" t="s">
        <v>293</v>
      </c>
      <c r="F39" s="464">
        <v>29.03</v>
      </c>
      <c r="G39" s="464" t="s">
        <v>151</v>
      </c>
      <c r="H39" s="465">
        <v>108</v>
      </c>
      <c r="I39" s="456">
        <f t="shared" si="5"/>
        <v>3135.24</v>
      </c>
      <c r="J39" s="465">
        <v>40.5</v>
      </c>
      <c r="K39" s="456">
        <f t="shared" si="6"/>
        <v>1763.57</v>
      </c>
      <c r="L39" s="465">
        <f t="shared" si="15"/>
        <v>148.5</v>
      </c>
      <c r="M39" s="456">
        <f t="shared" si="15"/>
        <v>4898.8099999999995</v>
      </c>
      <c r="O39" s="465">
        <v>0.5</v>
      </c>
      <c r="P39" s="456">
        <f t="shared" si="7"/>
        <v>14.52</v>
      </c>
      <c r="Q39" s="465">
        <v>0</v>
      </c>
      <c r="R39" s="456">
        <f t="shared" si="8"/>
        <v>0</v>
      </c>
      <c r="S39" s="465">
        <f t="shared" si="16"/>
        <v>0.5</v>
      </c>
      <c r="T39" s="456">
        <f t="shared" si="16"/>
        <v>14.52</v>
      </c>
      <c r="U39" s="456"/>
      <c r="V39" s="465">
        <v>0.5</v>
      </c>
      <c r="W39" s="456">
        <f t="shared" si="9"/>
        <v>14.52</v>
      </c>
      <c r="X39" s="465">
        <v>0</v>
      </c>
      <c r="Y39" s="456">
        <f t="shared" si="10"/>
        <v>0</v>
      </c>
      <c r="Z39" s="465">
        <f t="shared" si="17"/>
        <v>0.5</v>
      </c>
      <c r="AA39" s="456">
        <f t="shared" si="17"/>
        <v>14.52</v>
      </c>
      <c r="AB39" s="456"/>
      <c r="AC39" s="465">
        <f t="shared" si="18"/>
        <v>109</v>
      </c>
      <c r="AD39" s="456">
        <f t="shared" si="18"/>
        <v>3164.2799999999997</v>
      </c>
      <c r="AE39" s="465">
        <f t="shared" si="18"/>
        <v>40.5</v>
      </c>
      <c r="AF39" s="456">
        <f t="shared" si="18"/>
        <v>1763.57</v>
      </c>
      <c r="AG39" s="465">
        <f t="shared" si="19"/>
        <v>149.5</v>
      </c>
      <c r="AH39" s="456">
        <f t="shared" si="19"/>
        <v>4927.8499999999995</v>
      </c>
      <c r="AJ39" s="466">
        <v>27.65</v>
      </c>
      <c r="AK39" s="467">
        <v>29.03</v>
      </c>
      <c r="AM39" s="264">
        <f t="shared" si="11"/>
        <v>108</v>
      </c>
      <c r="AN39" s="264">
        <f t="shared" si="12"/>
        <v>40.5</v>
      </c>
      <c r="AO39" s="264">
        <f t="shared" si="14"/>
        <v>148.5</v>
      </c>
      <c r="AP39" s="264">
        <v>2080</v>
      </c>
    </row>
    <row r="40" spans="1:42" ht="17.45" customHeight="1" x14ac:dyDescent="0.4">
      <c r="A40" s="453" t="s">
        <v>302</v>
      </c>
      <c r="B40" s="453">
        <v>184</v>
      </c>
      <c r="C40" s="455" t="s">
        <v>582</v>
      </c>
      <c r="D40" s="454" t="s">
        <v>583</v>
      </c>
      <c r="E40" s="453" t="s">
        <v>293</v>
      </c>
      <c r="F40" s="464">
        <v>28.73</v>
      </c>
      <c r="G40" s="464" t="s">
        <v>151</v>
      </c>
      <c r="H40" s="465">
        <v>294</v>
      </c>
      <c r="I40" s="456">
        <f t="shared" si="5"/>
        <v>8446.6200000000008</v>
      </c>
      <c r="J40" s="465">
        <v>23.5</v>
      </c>
      <c r="K40" s="456">
        <f t="shared" si="6"/>
        <v>1012.73</v>
      </c>
      <c r="L40" s="465">
        <f t="shared" si="15"/>
        <v>317.5</v>
      </c>
      <c r="M40" s="456">
        <f t="shared" si="15"/>
        <v>9459.35</v>
      </c>
      <c r="O40" s="465">
        <v>15</v>
      </c>
      <c r="P40" s="456">
        <f t="shared" si="7"/>
        <v>430.95</v>
      </c>
      <c r="Q40" s="465">
        <v>4.5</v>
      </c>
      <c r="R40" s="456">
        <f t="shared" si="8"/>
        <v>193.93</v>
      </c>
      <c r="S40" s="465">
        <f t="shared" si="16"/>
        <v>19.5</v>
      </c>
      <c r="T40" s="456">
        <f t="shared" si="16"/>
        <v>624.88</v>
      </c>
      <c r="U40" s="456"/>
      <c r="V40" s="465">
        <v>0</v>
      </c>
      <c r="W40" s="456">
        <f t="shared" si="9"/>
        <v>0</v>
      </c>
      <c r="X40" s="465">
        <v>0</v>
      </c>
      <c r="Y40" s="456">
        <f t="shared" si="10"/>
        <v>0</v>
      </c>
      <c r="Z40" s="465">
        <f t="shared" si="17"/>
        <v>0</v>
      </c>
      <c r="AA40" s="456">
        <f t="shared" si="17"/>
        <v>0</v>
      </c>
      <c r="AB40" s="456"/>
      <c r="AC40" s="465">
        <f t="shared" si="18"/>
        <v>309</v>
      </c>
      <c r="AD40" s="456">
        <f t="shared" si="18"/>
        <v>8877.5700000000015</v>
      </c>
      <c r="AE40" s="465">
        <f t="shared" si="18"/>
        <v>28</v>
      </c>
      <c r="AF40" s="456">
        <f t="shared" si="18"/>
        <v>1206.6600000000001</v>
      </c>
      <c r="AG40" s="465">
        <f t="shared" si="19"/>
        <v>337</v>
      </c>
      <c r="AH40" s="456">
        <f t="shared" si="19"/>
        <v>10084.230000000001</v>
      </c>
      <c r="AJ40" s="466">
        <v>27.36</v>
      </c>
      <c r="AK40" s="467">
        <v>28.73</v>
      </c>
      <c r="AM40" s="264">
        <f t="shared" si="11"/>
        <v>294</v>
      </c>
      <c r="AN40" s="264">
        <f t="shared" si="12"/>
        <v>23.5</v>
      </c>
      <c r="AO40" s="264">
        <f t="shared" si="14"/>
        <v>317.5</v>
      </c>
      <c r="AP40" s="264">
        <v>2080</v>
      </c>
    </row>
    <row r="41" spans="1:42" ht="17.45" customHeight="1" x14ac:dyDescent="0.4">
      <c r="A41" s="453" t="s">
        <v>309</v>
      </c>
      <c r="B41" s="453">
        <v>193</v>
      </c>
      <c r="C41" s="454" t="s">
        <v>584</v>
      </c>
      <c r="D41" s="454" t="s">
        <v>585</v>
      </c>
      <c r="E41" s="453" t="s">
        <v>293</v>
      </c>
      <c r="F41" s="464">
        <v>6462.49</v>
      </c>
      <c r="G41" s="464" t="s">
        <v>294</v>
      </c>
      <c r="H41" s="465">
        <v>0</v>
      </c>
      <c r="I41" s="456">
        <f t="shared" si="5"/>
        <v>0</v>
      </c>
      <c r="J41" s="465">
        <v>0</v>
      </c>
      <c r="K41" s="456">
        <f t="shared" si="6"/>
        <v>0</v>
      </c>
      <c r="L41" s="465">
        <f t="shared" si="15"/>
        <v>0</v>
      </c>
      <c r="M41" s="456">
        <f t="shared" si="15"/>
        <v>0</v>
      </c>
      <c r="O41" s="465">
        <v>76</v>
      </c>
      <c r="P41" s="456">
        <f t="shared" si="7"/>
        <v>6139.37</v>
      </c>
      <c r="Q41" s="465">
        <v>0</v>
      </c>
      <c r="R41" s="456">
        <f t="shared" si="8"/>
        <v>0</v>
      </c>
      <c r="S41" s="465">
        <f t="shared" si="16"/>
        <v>76</v>
      </c>
      <c r="T41" s="456">
        <f t="shared" si="16"/>
        <v>6139.37</v>
      </c>
      <c r="U41" s="456"/>
      <c r="V41" s="465">
        <v>0</v>
      </c>
      <c r="W41" s="456">
        <f t="shared" si="9"/>
        <v>0</v>
      </c>
      <c r="X41" s="465">
        <v>0</v>
      </c>
      <c r="Y41" s="456">
        <f t="shared" si="10"/>
        <v>0</v>
      </c>
      <c r="Z41" s="465">
        <f t="shared" si="17"/>
        <v>0</v>
      </c>
      <c r="AA41" s="456">
        <f t="shared" si="17"/>
        <v>0</v>
      </c>
      <c r="AB41" s="456"/>
      <c r="AC41" s="465">
        <f t="shared" si="18"/>
        <v>76</v>
      </c>
      <c r="AD41" s="456">
        <f t="shared" si="18"/>
        <v>6139.37</v>
      </c>
      <c r="AE41" s="465">
        <f t="shared" si="18"/>
        <v>0</v>
      </c>
      <c r="AF41" s="456">
        <f t="shared" si="18"/>
        <v>0</v>
      </c>
      <c r="AG41" s="465">
        <f t="shared" si="19"/>
        <v>76</v>
      </c>
      <c r="AH41" s="456">
        <f t="shared" si="19"/>
        <v>6139.37</v>
      </c>
      <c r="AJ41" s="466">
        <v>6154.75</v>
      </c>
      <c r="AK41" s="467">
        <v>6462.49</v>
      </c>
      <c r="AM41" s="264">
        <f t="shared" si="11"/>
        <v>0</v>
      </c>
      <c r="AN41" s="264">
        <f t="shared" si="12"/>
        <v>0</v>
      </c>
      <c r="AO41" s="264">
        <f t="shared" si="14"/>
        <v>0</v>
      </c>
      <c r="AP41" s="264">
        <v>2080</v>
      </c>
    </row>
    <row r="42" spans="1:42" ht="17.45" customHeight="1" x14ac:dyDescent="0.4">
      <c r="A42" s="453" t="s">
        <v>313</v>
      </c>
      <c r="B42" s="453">
        <v>42</v>
      </c>
      <c r="C42" s="455" t="s">
        <v>586</v>
      </c>
      <c r="D42" s="454" t="s">
        <v>587</v>
      </c>
      <c r="E42" s="453" t="s">
        <v>293</v>
      </c>
      <c r="F42" s="464">
        <v>6512.99</v>
      </c>
      <c r="G42" s="464" t="s">
        <v>294</v>
      </c>
      <c r="H42" s="465">
        <v>107.33103</v>
      </c>
      <c r="I42" s="456">
        <f t="shared" si="5"/>
        <v>8738.07</v>
      </c>
      <c r="J42" s="465">
        <v>0</v>
      </c>
      <c r="K42" s="456">
        <f t="shared" si="6"/>
        <v>0</v>
      </c>
      <c r="L42" s="465">
        <f t="shared" si="15"/>
        <v>107.33103</v>
      </c>
      <c r="M42" s="456">
        <f t="shared" si="15"/>
        <v>8738.07</v>
      </c>
      <c r="O42" s="465">
        <v>74.585970000000003</v>
      </c>
      <c r="P42" s="456">
        <f t="shared" si="7"/>
        <v>6072.22</v>
      </c>
      <c r="Q42" s="465">
        <v>0</v>
      </c>
      <c r="R42" s="456">
        <f t="shared" si="8"/>
        <v>0</v>
      </c>
      <c r="S42" s="465">
        <f t="shared" si="16"/>
        <v>74.585970000000003</v>
      </c>
      <c r="T42" s="456">
        <f t="shared" si="16"/>
        <v>6072.22</v>
      </c>
      <c r="U42" s="456"/>
      <c r="V42" s="465">
        <v>0</v>
      </c>
      <c r="W42" s="456">
        <f t="shared" si="9"/>
        <v>0</v>
      </c>
      <c r="X42" s="465">
        <v>0</v>
      </c>
      <c r="Y42" s="456">
        <f t="shared" si="10"/>
        <v>0</v>
      </c>
      <c r="Z42" s="465">
        <f t="shared" si="17"/>
        <v>0</v>
      </c>
      <c r="AA42" s="456">
        <f t="shared" si="17"/>
        <v>0</v>
      </c>
      <c r="AB42" s="456"/>
      <c r="AC42" s="465">
        <f t="shared" si="18"/>
        <v>181.917</v>
      </c>
      <c r="AD42" s="456">
        <f t="shared" si="18"/>
        <v>14810.29</v>
      </c>
      <c r="AE42" s="465">
        <f t="shared" si="18"/>
        <v>0</v>
      </c>
      <c r="AF42" s="456">
        <f t="shared" si="18"/>
        <v>0</v>
      </c>
      <c r="AG42" s="465">
        <f t="shared" si="19"/>
        <v>181.917</v>
      </c>
      <c r="AH42" s="456">
        <f t="shared" si="19"/>
        <v>14810.29</v>
      </c>
      <c r="AJ42" s="466">
        <v>6202.85</v>
      </c>
      <c r="AK42" s="467">
        <v>6512.99</v>
      </c>
      <c r="AM42" s="264">
        <f t="shared" si="11"/>
        <v>107.33103</v>
      </c>
      <c r="AN42" s="264">
        <f t="shared" si="12"/>
        <v>0</v>
      </c>
      <c r="AO42" s="264">
        <f t="shared" si="14"/>
        <v>107.33103</v>
      </c>
      <c r="AP42" s="264">
        <v>2080</v>
      </c>
    </row>
    <row r="43" spans="1:42" ht="17.45" customHeight="1" x14ac:dyDescent="0.4">
      <c r="A43" s="453" t="s">
        <v>313</v>
      </c>
      <c r="B43" s="453">
        <v>188</v>
      </c>
      <c r="C43" s="455" t="s">
        <v>588</v>
      </c>
      <c r="D43" s="454" t="s">
        <v>589</v>
      </c>
      <c r="E43" s="453" t="s">
        <v>293</v>
      </c>
      <c r="F43" s="464">
        <v>4261.6000000000004</v>
      </c>
      <c r="G43" s="464" t="s">
        <v>294</v>
      </c>
      <c r="H43" s="465">
        <v>100.28996999999998</v>
      </c>
      <c r="I43" s="456">
        <f t="shared" si="5"/>
        <v>5342.45</v>
      </c>
      <c r="J43" s="465">
        <v>0</v>
      </c>
      <c r="K43" s="456">
        <f t="shared" si="6"/>
        <v>0</v>
      </c>
      <c r="L43" s="465">
        <f t="shared" si="15"/>
        <v>100.28996999999998</v>
      </c>
      <c r="M43" s="456">
        <f t="shared" si="15"/>
        <v>5342.45</v>
      </c>
      <c r="O43" s="465">
        <v>69.693029999999979</v>
      </c>
      <c r="P43" s="456">
        <f t="shared" si="7"/>
        <v>3712.55</v>
      </c>
      <c r="Q43" s="465">
        <v>0</v>
      </c>
      <c r="R43" s="456">
        <f t="shared" si="8"/>
        <v>0</v>
      </c>
      <c r="S43" s="465">
        <f t="shared" si="16"/>
        <v>69.693029999999979</v>
      </c>
      <c r="T43" s="456">
        <f t="shared" si="16"/>
        <v>3712.55</v>
      </c>
      <c r="U43" s="456"/>
      <c r="V43" s="465">
        <v>0</v>
      </c>
      <c r="W43" s="456">
        <f t="shared" si="9"/>
        <v>0</v>
      </c>
      <c r="X43" s="465">
        <v>0</v>
      </c>
      <c r="Y43" s="456">
        <f t="shared" si="10"/>
        <v>0</v>
      </c>
      <c r="Z43" s="465">
        <f t="shared" si="17"/>
        <v>0</v>
      </c>
      <c r="AA43" s="456">
        <f t="shared" si="17"/>
        <v>0</v>
      </c>
      <c r="AB43" s="456"/>
      <c r="AC43" s="465">
        <f t="shared" si="18"/>
        <v>169.98299999999995</v>
      </c>
      <c r="AD43" s="456">
        <f t="shared" si="18"/>
        <v>9055</v>
      </c>
      <c r="AE43" s="465">
        <f t="shared" si="18"/>
        <v>0</v>
      </c>
      <c r="AF43" s="456">
        <f t="shared" si="18"/>
        <v>0</v>
      </c>
      <c r="AG43" s="465">
        <f t="shared" si="19"/>
        <v>169.98299999999995</v>
      </c>
      <c r="AH43" s="456">
        <f t="shared" si="19"/>
        <v>9055</v>
      </c>
      <c r="AJ43" s="466">
        <v>4058.67</v>
      </c>
      <c r="AK43" s="467">
        <v>4261.6000000000004</v>
      </c>
      <c r="AM43" s="264">
        <f t="shared" si="11"/>
        <v>100.28996999999998</v>
      </c>
      <c r="AN43" s="264">
        <f t="shared" si="12"/>
        <v>0</v>
      </c>
      <c r="AO43" s="264">
        <f t="shared" si="14"/>
        <v>100.28996999999998</v>
      </c>
      <c r="AP43" s="264">
        <v>2080</v>
      </c>
    </row>
    <row r="44" spans="1:42" ht="17.45" customHeight="1" x14ac:dyDescent="0.4">
      <c r="A44" s="453" t="s">
        <v>292</v>
      </c>
      <c r="B44" s="453">
        <v>102</v>
      </c>
      <c r="C44" s="455" t="s">
        <v>590</v>
      </c>
      <c r="D44" s="454" t="s">
        <v>591</v>
      </c>
      <c r="E44" s="453" t="s">
        <v>293</v>
      </c>
      <c r="F44" s="464">
        <v>5434.16</v>
      </c>
      <c r="G44" s="464" t="s">
        <v>294</v>
      </c>
      <c r="H44" s="465">
        <v>0</v>
      </c>
      <c r="I44" s="456">
        <f t="shared" si="5"/>
        <v>0</v>
      </c>
      <c r="J44" s="465">
        <v>0</v>
      </c>
      <c r="K44" s="456">
        <f t="shared" si="6"/>
        <v>0</v>
      </c>
      <c r="L44" s="465">
        <f t="shared" si="15"/>
        <v>0</v>
      </c>
      <c r="M44" s="456">
        <f t="shared" si="15"/>
        <v>0</v>
      </c>
      <c r="O44" s="465">
        <v>166.5</v>
      </c>
      <c r="P44" s="456">
        <f t="shared" si="7"/>
        <v>11309.85</v>
      </c>
      <c r="Q44" s="465">
        <v>0</v>
      </c>
      <c r="R44" s="456">
        <f t="shared" si="8"/>
        <v>0</v>
      </c>
      <c r="S44" s="465">
        <f t="shared" si="16"/>
        <v>166.5</v>
      </c>
      <c r="T44" s="456">
        <f t="shared" si="16"/>
        <v>11309.85</v>
      </c>
      <c r="U44" s="456"/>
      <c r="V44" s="465">
        <v>0</v>
      </c>
      <c r="W44" s="456">
        <f t="shared" si="9"/>
        <v>0</v>
      </c>
      <c r="X44" s="465">
        <v>0</v>
      </c>
      <c r="Y44" s="456">
        <f t="shared" si="10"/>
        <v>0</v>
      </c>
      <c r="Z44" s="465">
        <f t="shared" si="17"/>
        <v>0</v>
      </c>
      <c r="AA44" s="456">
        <f t="shared" si="17"/>
        <v>0</v>
      </c>
      <c r="AB44" s="456"/>
      <c r="AC44" s="465">
        <f t="shared" si="18"/>
        <v>166.5</v>
      </c>
      <c r="AD44" s="456">
        <f t="shared" si="18"/>
        <v>11309.85</v>
      </c>
      <c r="AE44" s="465">
        <f t="shared" si="18"/>
        <v>0</v>
      </c>
      <c r="AF44" s="456">
        <f t="shared" si="18"/>
        <v>0</v>
      </c>
      <c r="AG44" s="465">
        <f t="shared" si="19"/>
        <v>166.5</v>
      </c>
      <c r="AH44" s="456">
        <f t="shared" si="19"/>
        <v>11309.85</v>
      </c>
      <c r="AJ44" s="466">
        <v>5175.3900000000003</v>
      </c>
      <c r="AK44" s="467">
        <v>5434.16</v>
      </c>
      <c r="AM44" s="264">
        <f t="shared" si="11"/>
        <v>0</v>
      </c>
      <c r="AN44" s="264">
        <f t="shared" si="12"/>
        <v>0</v>
      </c>
      <c r="AO44" s="264">
        <f t="shared" si="14"/>
        <v>0</v>
      </c>
      <c r="AP44" s="264">
        <v>2080</v>
      </c>
    </row>
    <row r="45" spans="1:42" ht="17.45" customHeight="1" x14ac:dyDescent="0.4">
      <c r="A45" s="453" t="s">
        <v>313</v>
      </c>
      <c r="B45" s="453">
        <v>94</v>
      </c>
      <c r="C45" s="455" t="s">
        <v>592</v>
      </c>
      <c r="D45" s="454" t="s">
        <v>593</v>
      </c>
      <c r="E45" s="453" t="s">
        <v>293</v>
      </c>
      <c r="F45" s="464">
        <v>5842.83</v>
      </c>
      <c r="G45" s="464" t="s">
        <v>294</v>
      </c>
      <c r="H45" s="465">
        <v>87.230909999999994</v>
      </c>
      <c r="I45" s="456">
        <f t="shared" si="5"/>
        <v>6370.94</v>
      </c>
      <c r="J45" s="465">
        <v>0</v>
      </c>
      <c r="K45" s="456">
        <f t="shared" si="6"/>
        <v>0</v>
      </c>
      <c r="L45" s="465">
        <f t="shared" si="15"/>
        <v>87.230909999999994</v>
      </c>
      <c r="M45" s="456">
        <f t="shared" si="15"/>
        <v>6370.94</v>
      </c>
      <c r="O45" s="465">
        <v>60.618089999999995</v>
      </c>
      <c r="P45" s="456">
        <f t="shared" si="7"/>
        <v>4427.26</v>
      </c>
      <c r="Q45" s="465">
        <v>0</v>
      </c>
      <c r="R45" s="456">
        <f t="shared" si="8"/>
        <v>0</v>
      </c>
      <c r="S45" s="465">
        <f t="shared" si="16"/>
        <v>60.618089999999995</v>
      </c>
      <c r="T45" s="456">
        <f t="shared" si="16"/>
        <v>4427.26</v>
      </c>
      <c r="U45" s="456"/>
      <c r="V45" s="465">
        <v>0</v>
      </c>
      <c r="W45" s="456">
        <f t="shared" si="9"/>
        <v>0</v>
      </c>
      <c r="X45" s="465">
        <v>0</v>
      </c>
      <c r="Y45" s="456">
        <f t="shared" si="10"/>
        <v>0</v>
      </c>
      <c r="Z45" s="465">
        <f t="shared" si="17"/>
        <v>0</v>
      </c>
      <c r="AA45" s="456">
        <f t="shared" si="17"/>
        <v>0</v>
      </c>
      <c r="AB45" s="456"/>
      <c r="AC45" s="465">
        <f t="shared" si="18"/>
        <v>147.84899999999999</v>
      </c>
      <c r="AD45" s="456">
        <f t="shared" si="18"/>
        <v>10798.2</v>
      </c>
      <c r="AE45" s="465">
        <f t="shared" si="18"/>
        <v>0</v>
      </c>
      <c r="AF45" s="456">
        <f t="shared" si="18"/>
        <v>0</v>
      </c>
      <c r="AG45" s="465">
        <f t="shared" si="19"/>
        <v>147.84899999999999</v>
      </c>
      <c r="AH45" s="456">
        <f t="shared" si="19"/>
        <v>10798.2</v>
      </c>
      <c r="AJ45" s="466">
        <v>5564.6</v>
      </c>
      <c r="AK45" s="467">
        <v>5842.83</v>
      </c>
      <c r="AM45" s="264">
        <f t="shared" si="11"/>
        <v>87.230909999999994</v>
      </c>
      <c r="AN45" s="264">
        <f t="shared" si="12"/>
        <v>0</v>
      </c>
      <c r="AO45" s="264">
        <f t="shared" si="14"/>
        <v>87.230909999999994</v>
      </c>
      <c r="AP45" s="264">
        <v>2080</v>
      </c>
    </row>
    <row r="46" spans="1:42" ht="17.45" customHeight="1" x14ac:dyDescent="0.4">
      <c r="A46" s="453" t="s">
        <v>313</v>
      </c>
      <c r="B46" s="453">
        <v>56</v>
      </c>
      <c r="C46" s="454" t="s">
        <v>594</v>
      </c>
      <c r="D46" s="454" t="s">
        <v>595</v>
      </c>
      <c r="E46" s="453" t="s">
        <v>293</v>
      </c>
      <c r="F46" s="464">
        <v>34.61</v>
      </c>
      <c r="G46" s="464" t="s">
        <v>151</v>
      </c>
      <c r="H46" s="465">
        <v>104.65301999999998</v>
      </c>
      <c r="I46" s="456">
        <f t="shared" si="5"/>
        <v>3622.04</v>
      </c>
      <c r="J46" s="465">
        <v>7.8835799999999985</v>
      </c>
      <c r="K46" s="456">
        <f t="shared" si="6"/>
        <v>409.28</v>
      </c>
      <c r="L46" s="465">
        <f t="shared" si="15"/>
        <v>112.53659999999998</v>
      </c>
      <c r="M46" s="456">
        <f t="shared" si="15"/>
        <v>4031.3199999999997</v>
      </c>
      <c r="O46" s="465">
        <v>72.724979999999988</v>
      </c>
      <c r="P46" s="456">
        <f t="shared" si="7"/>
        <v>2517.0100000000002</v>
      </c>
      <c r="Q46" s="465">
        <v>5.478419999999999</v>
      </c>
      <c r="R46" s="456">
        <f t="shared" si="8"/>
        <v>284.41000000000003</v>
      </c>
      <c r="S46" s="465">
        <f t="shared" si="16"/>
        <v>78.203399999999988</v>
      </c>
      <c r="T46" s="456">
        <f t="shared" si="16"/>
        <v>2801.42</v>
      </c>
      <c r="U46" s="456"/>
      <c r="V46" s="465">
        <v>0</v>
      </c>
      <c r="W46" s="456">
        <f t="shared" si="9"/>
        <v>0</v>
      </c>
      <c r="X46" s="465">
        <v>0</v>
      </c>
      <c r="Y46" s="456">
        <f t="shared" si="10"/>
        <v>0</v>
      </c>
      <c r="Z46" s="465">
        <f t="shared" si="17"/>
        <v>0</v>
      </c>
      <c r="AA46" s="456">
        <f t="shared" si="17"/>
        <v>0</v>
      </c>
      <c r="AB46" s="456"/>
      <c r="AC46" s="465">
        <f t="shared" si="18"/>
        <v>177.37799999999999</v>
      </c>
      <c r="AD46" s="456">
        <f t="shared" si="18"/>
        <v>6139.05</v>
      </c>
      <c r="AE46" s="465">
        <f t="shared" si="18"/>
        <v>13.361999999999998</v>
      </c>
      <c r="AF46" s="456">
        <f t="shared" si="18"/>
        <v>693.69</v>
      </c>
      <c r="AG46" s="465">
        <f t="shared" si="19"/>
        <v>190.73999999999998</v>
      </c>
      <c r="AH46" s="456">
        <f t="shared" si="19"/>
        <v>6832.74</v>
      </c>
      <c r="AJ46" s="466">
        <v>32.96</v>
      </c>
      <c r="AK46" s="467">
        <v>34.61</v>
      </c>
      <c r="AM46" s="264">
        <f t="shared" si="11"/>
        <v>104.65301999999998</v>
      </c>
      <c r="AN46" s="264">
        <f t="shared" si="12"/>
        <v>7.8835799999999985</v>
      </c>
      <c r="AO46" s="264">
        <f t="shared" si="14"/>
        <v>112.53659999999998</v>
      </c>
      <c r="AP46" s="264">
        <v>2080</v>
      </c>
    </row>
    <row r="47" spans="1:42" ht="17.45" customHeight="1" x14ac:dyDescent="0.4">
      <c r="A47" s="453" t="s">
        <v>296</v>
      </c>
      <c r="B47" s="453">
        <v>183</v>
      </c>
      <c r="C47" s="454" t="s">
        <v>300</v>
      </c>
      <c r="D47" s="454" t="s">
        <v>596</v>
      </c>
      <c r="E47" s="453" t="s">
        <v>293</v>
      </c>
      <c r="F47" s="464">
        <v>30.48</v>
      </c>
      <c r="G47" s="464" t="s">
        <v>151</v>
      </c>
      <c r="H47" s="465">
        <v>113</v>
      </c>
      <c r="I47" s="456">
        <f t="shared" si="5"/>
        <v>3444.24</v>
      </c>
      <c r="J47" s="465">
        <v>8.5</v>
      </c>
      <c r="K47" s="456">
        <f t="shared" si="6"/>
        <v>388.62</v>
      </c>
      <c r="L47" s="465">
        <f t="shared" si="15"/>
        <v>121.5</v>
      </c>
      <c r="M47" s="456">
        <f t="shared" si="15"/>
        <v>3832.8599999999997</v>
      </c>
      <c r="O47" s="465">
        <v>4</v>
      </c>
      <c r="P47" s="456">
        <f t="shared" si="7"/>
        <v>121.92</v>
      </c>
      <c r="Q47" s="465">
        <v>0</v>
      </c>
      <c r="R47" s="456">
        <f t="shared" si="8"/>
        <v>0</v>
      </c>
      <c r="S47" s="465">
        <f t="shared" si="16"/>
        <v>4</v>
      </c>
      <c r="T47" s="456">
        <f t="shared" si="16"/>
        <v>121.92</v>
      </c>
      <c r="U47" s="456"/>
      <c r="V47" s="465">
        <v>0</v>
      </c>
      <c r="W47" s="456">
        <f t="shared" si="9"/>
        <v>0</v>
      </c>
      <c r="X47" s="465">
        <v>0</v>
      </c>
      <c r="Y47" s="456">
        <f t="shared" si="10"/>
        <v>0</v>
      </c>
      <c r="Z47" s="465">
        <f t="shared" si="17"/>
        <v>0</v>
      </c>
      <c r="AA47" s="456">
        <f t="shared" si="17"/>
        <v>0</v>
      </c>
      <c r="AB47" s="456"/>
      <c r="AC47" s="465">
        <f t="shared" si="18"/>
        <v>117</v>
      </c>
      <c r="AD47" s="456">
        <f t="shared" si="18"/>
        <v>3566.16</v>
      </c>
      <c r="AE47" s="465">
        <f t="shared" si="18"/>
        <v>8.5</v>
      </c>
      <c r="AF47" s="456">
        <f t="shared" si="18"/>
        <v>388.62</v>
      </c>
      <c r="AG47" s="465">
        <f t="shared" si="19"/>
        <v>125.5</v>
      </c>
      <c r="AH47" s="456">
        <f t="shared" si="19"/>
        <v>3954.7799999999997</v>
      </c>
      <c r="AJ47" s="466">
        <v>29.03</v>
      </c>
      <c r="AK47" s="467">
        <v>30.48</v>
      </c>
      <c r="AM47" s="264">
        <f t="shared" si="11"/>
        <v>113</v>
      </c>
      <c r="AN47" s="264">
        <f t="shared" si="12"/>
        <v>8.5</v>
      </c>
      <c r="AO47" s="264">
        <f t="shared" si="14"/>
        <v>121.5</v>
      </c>
      <c r="AP47" s="264">
        <v>2080</v>
      </c>
    </row>
    <row r="48" spans="1:42" ht="17.45" customHeight="1" x14ac:dyDescent="0.4">
      <c r="A48" s="453" t="s">
        <v>296</v>
      </c>
      <c r="B48" s="453">
        <v>229</v>
      </c>
      <c r="C48" s="455" t="s">
        <v>597</v>
      </c>
      <c r="D48" s="454" t="s">
        <v>598</v>
      </c>
      <c r="E48" s="453" t="s">
        <v>293</v>
      </c>
      <c r="F48" s="464">
        <v>21.68</v>
      </c>
      <c r="G48" s="464" t="s">
        <v>151</v>
      </c>
      <c r="H48" s="465">
        <v>50.5</v>
      </c>
      <c r="I48" s="456">
        <f t="shared" si="5"/>
        <v>1094.8399999999999</v>
      </c>
      <c r="J48" s="465">
        <v>11</v>
      </c>
      <c r="K48" s="456">
        <f t="shared" si="6"/>
        <v>357.72</v>
      </c>
      <c r="L48" s="465">
        <f t="shared" si="15"/>
        <v>61.5</v>
      </c>
      <c r="M48" s="456">
        <f t="shared" si="15"/>
        <v>1452.56</v>
      </c>
      <c r="O48" s="465">
        <v>38</v>
      </c>
      <c r="P48" s="456">
        <f t="shared" si="7"/>
        <v>823.84</v>
      </c>
      <c r="Q48" s="465">
        <v>10.5</v>
      </c>
      <c r="R48" s="456">
        <f t="shared" si="8"/>
        <v>341.46</v>
      </c>
      <c r="S48" s="465">
        <f t="shared" si="16"/>
        <v>48.5</v>
      </c>
      <c r="T48" s="456">
        <f t="shared" si="16"/>
        <v>1165.3</v>
      </c>
      <c r="U48" s="456"/>
      <c r="V48" s="465">
        <v>0</v>
      </c>
      <c r="W48" s="456">
        <f t="shared" si="9"/>
        <v>0</v>
      </c>
      <c r="X48" s="465">
        <v>0</v>
      </c>
      <c r="Y48" s="456">
        <f t="shared" si="10"/>
        <v>0</v>
      </c>
      <c r="Z48" s="465">
        <f t="shared" si="17"/>
        <v>0</v>
      </c>
      <c r="AA48" s="456">
        <f t="shared" si="17"/>
        <v>0</v>
      </c>
      <c r="AB48" s="456"/>
      <c r="AC48" s="465">
        <f t="shared" si="18"/>
        <v>88.5</v>
      </c>
      <c r="AD48" s="456">
        <f t="shared" si="18"/>
        <v>1918.6799999999998</v>
      </c>
      <c r="AE48" s="465">
        <f t="shared" si="18"/>
        <v>21.5</v>
      </c>
      <c r="AF48" s="456">
        <f t="shared" si="18"/>
        <v>699.18000000000006</v>
      </c>
      <c r="AG48" s="465">
        <f t="shared" si="19"/>
        <v>110</v>
      </c>
      <c r="AH48" s="456">
        <f t="shared" si="19"/>
        <v>2617.8599999999997</v>
      </c>
      <c r="AJ48" s="466">
        <v>20.65</v>
      </c>
      <c r="AK48" s="467">
        <v>21.68</v>
      </c>
      <c r="AM48" s="264">
        <f t="shared" si="11"/>
        <v>50.5</v>
      </c>
      <c r="AN48" s="264">
        <f t="shared" si="12"/>
        <v>11</v>
      </c>
      <c r="AO48" s="264">
        <f t="shared" si="14"/>
        <v>61.5</v>
      </c>
      <c r="AP48" s="264">
        <v>2080</v>
      </c>
    </row>
    <row r="49" spans="1:42" ht="17.45" customHeight="1" x14ac:dyDescent="0.4">
      <c r="A49" s="453" t="s">
        <v>296</v>
      </c>
      <c r="B49" s="453">
        <v>219</v>
      </c>
      <c r="C49" s="455" t="s">
        <v>597</v>
      </c>
      <c r="D49" s="454" t="s">
        <v>599</v>
      </c>
      <c r="E49" s="453" t="s">
        <v>293</v>
      </c>
      <c r="F49" s="464">
        <v>22.58</v>
      </c>
      <c r="G49" s="464" t="s">
        <v>151</v>
      </c>
      <c r="H49" s="465">
        <v>185.56018</v>
      </c>
      <c r="I49" s="456">
        <f t="shared" si="5"/>
        <v>4189.95</v>
      </c>
      <c r="J49" s="465">
        <v>22.5</v>
      </c>
      <c r="K49" s="456">
        <f t="shared" si="6"/>
        <v>762.08</v>
      </c>
      <c r="L49" s="465">
        <f t="shared" si="15"/>
        <v>208.06018</v>
      </c>
      <c r="M49" s="456">
        <f t="shared" si="15"/>
        <v>4952.03</v>
      </c>
      <c r="O49" s="465">
        <v>35.041820000000001</v>
      </c>
      <c r="P49" s="456">
        <f t="shared" si="7"/>
        <v>791.24</v>
      </c>
      <c r="Q49" s="465">
        <v>5.5</v>
      </c>
      <c r="R49" s="456">
        <f t="shared" si="8"/>
        <v>186.29</v>
      </c>
      <c r="S49" s="465">
        <f t="shared" si="16"/>
        <v>40.541820000000001</v>
      </c>
      <c r="T49" s="456">
        <f t="shared" si="16"/>
        <v>977.53</v>
      </c>
      <c r="U49" s="456"/>
      <c r="V49" s="465">
        <v>0</v>
      </c>
      <c r="W49" s="456">
        <f t="shared" si="9"/>
        <v>0</v>
      </c>
      <c r="X49" s="465">
        <v>0</v>
      </c>
      <c r="Y49" s="456">
        <f t="shared" si="10"/>
        <v>0</v>
      </c>
      <c r="Z49" s="465">
        <f t="shared" si="17"/>
        <v>0</v>
      </c>
      <c r="AA49" s="456">
        <f t="shared" si="17"/>
        <v>0</v>
      </c>
      <c r="AB49" s="456"/>
      <c r="AC49" s="465">
        <f t="shared" si="18"/>
        <v>220.602</v>
      </c>
      <c r="AD49" s="456">
        <f t="shared" si="18"/>
        <v>4981.1899999999996</v>
      </c>
      <c r="AE49" s="465">
        <f t="shared" si="18"/>
        <v>28</v>
      </c>
      <c r="AF49" s="456">
        <f t="shared" si="18"/>
        <v>948.37</v>
      </c>
      <c r="AG49" s="465">
        <f t="shared" si="19"/>
        <v>248.602</v>
      </c>
      <c r="AH49" s="456">
        <f t="shared" si="19"/>
        <v>5929.5599999999995</v>
      </c>
      <c r="AJ49" s="466">
        <v>21.5</v>
      </c>
      <c r="AK49" s="467">
        <v>22.58</v>
      </c>
      <c r="AM49" s="264">
        <f t="shared" si="11"/>
        <v>185.56018</v>
      </c>
      <c r="AN49" s="264">
        <f t="shared" si="12"/>
        <v>22.5</v>
      </c>
      <c r="AO49" s="264">
        <f t="shared" si="14"/>
        <v>208.06018</v>
      </c>
      <c r="AP49" s="264">
        <v>2080</v>
      </c>
    </row>
    <row r="50" spans="1:42" ht="17.45" customHeight="1" x14ac:dyDescent="0.4">
      <c r="A50" s="453" t="s">
        <v>296</v>
      </c>
      <c r="B50" s="453">
        <v>189</v>
      </c>
      <c r="C50" s="455" t="s">
        <v>597</v>
      </c>
      <c r="D50" s="454" t="s">
        <v>600</v>
      </c>
      <c r="E50" s="453" t="s">
        <v>293</v>
      </c>
      <c r="F50" s="464">
        <v>26.47</v>
      </c>
      <c r="G50" s="464" t="s">
        <v>151</v>
      </c>
      <c r="H50" s="465">
        <v>503.5</v>
      </c>
      <c r="I50" s="456">
        <f t="shared" si="5"/>
        <v>13327.65</v>
      </c>
      <c r="J50" s="465">
        <v>31</v>
      </c>
      <c r="K50" s="456">
        <f t="shared" si="6"/>
        <v>1230.8599999999999</v>
      </c>
      <c r="L50" s="465">
        <f t="shared" si="15"/>
        <v>534.5</v>
      </c>
      <c r="M50" s="456">
        <f t="shared" si="15"/>
        <v>14558.51</v>
      </c>
      <c r="O50" s="465">
        <v>242.5</v>
      </c>
      <c r="P50" s="456">
        <f t="shared" si="7"/>
        <v>6418.98</v>
      </c>
      <c r="Q50" s="465">
        <v>7</v>
      </c>
      <c r="R50" s="456">
        <f t="shared" si="8"/>
        <v>277.94</v>
      </c>
      <c r="S50" s="465">
        <f t="shared" si="16"/>
        <v>249.5</v>
      </c>
      <c r="T50" s="456">
        <f t="shared" si="16"/>
        <v>6696.9199999999992</v>
      </c>
      <c r="U50" s="456"/>
      <c r="V50" s="465">
        <v>4</v>
      </c>
      <c r="W50" s="456">
        <f t="shared" si="9"/>
        <v>105.88</v>
      </c>
      <c r="X50" s="465">
        <v>0</v>
      </c>
      <c r="Y50" s="456">
        <f t="shared" si="10"/>
        <v>0</v>
      </c>
      <c r="Z50" s="465">
        <f t="shared" si="17"/>
        <v>4</v>
      </c>
      <c r="AA50" s="456">
        <f t="shared" si="17"/>
        <v>105.88</v>
      </c>
      <c r="AB50" s="456"/>
      <c r="AC50" s="465">
        <f t="shared" si="18"/>
        <v>750</v>
      </c>
      <c r="AD50" s="456">
        <f t="shared" si="18"/>
        <v>19852.509999999998</v>
      </c>
      <c r="AE50" s="465">
        <f t="shared" si="18"/>
        <v>38</v>
      </c>
      <c r="AF50" s="456">
        <f t="shared" si="18"/>
        <v>1508.8</v>
      </c>
      <c r="AG50" s="465">
        <f t="shared" si="19"/>
        <v>788</v>
      </c>
      <c r="AH50" s="456">
        <f t="shared" si="19"/>
        <v>21361.309999999998</v>
      </c>
      <c r="AJ50" s="466">
        <v>25.21</v>
      </c>
      <c r="AK50" s="467">
        <v>26.47</v>
      </c>
      <c r="AM50" s="264">
        <f t="shared" si="11"/>
        <v>503.5</v>
      </c>
      <c r="AN50" s="264">
        <f t="shared" si="12"/>
        <v>31</v>
      </c>
      <c r="AO50" s="264">
        <f t="shared" si="14"/>
        <v>534.5</v>
      </c>
      <c r="AP50" s="264">
        <v>2080</v>
      </c>
    </row>
    <row r="51" spans="1:42" ht="17.45" customHeight="1" x14ac:dyDescent="0.4">
      <c r="A51" s="453" t="s">
        <v>296</v>
      </c>
      <c r="B51" s="453">
        <v>213</v>
      </c>
      <c r="C51" s="455" t="s">
        <v>601</v>
      </c>
      <c r="D51" s="454" t="s">
        <v>602</v>
      </c>
      <c r="E51" s="453" t="s">
        <v>293</v>
      </c>
      <c r="F51" s="464">
        <v>26.73</v>
      </c>
      <c r="G51" s="464" t="s">
        <v>151</v>
      </c>
      <c r="H51" s="465">
        <v>69</v>
      </c>
      <c r="I51" s="456">
        <f t="shared" si="5"/>
        <v>1844.37</v>
      </c>
      <c r="J51" s="465">
        <v>5.5</v>
      </c>
      <c r="K51" s="456">
        <f t="shared" si="6"/>
        <v>220.52</v>
      </c>
      <c r="L51" s="465">
        <f t="shared" si="15"/>
        <v>74.5</v>
      </c>
      <c r="M51" s="456">
        <f t="shared" si="15"/>
        <v>2064.89</v>
      </c>
      <c r="O51" s="465">
        <v>18</v>
      </c>
      <c r="P51" s="456">
        <f t="shared" si="7"/>
        <v>481.14</v>
      </c>
      <c r="Q51" s="465">
        <v>0</v>
      </c>
      <c r="R51" s="456">
        <f t="shared" si="8"/>
        <v>0</v>
      </c>
      <c r="S51" s="465">
        <f t="shared" si="16"/>
        <v>18</v>
      </c>
      <c r="T51" s="456">
        <f t="shared" si="16"/>
        <v>481.14</v>
      </c>
      <c r="U51" s="456"/>
      <c r="V51" s="465">
        <v>0</v>
      </c>
      <c r="W51" s="456">
        <f t="shared" si="9"/>
        <v>0</v>
      </c>
      <c r="X51" s="465">
        <v>0</v>
      </c>
      <c r="Y51" s="456">
        <f t="shared" si="10"/>
        <v>0</v>
      </c>
      <c r="Z51" s="465">
        <f t="shared" si="17"/>
        <v>0</v>
      </c>
      <c r="AA51" s="456">
        <f t="shared" si="17"/>
        <v>0</v>
      </c>
      <c r="AB51" s="456"/>
      <c r="AC51" s="465">
        <f t="shared" si="18"/>
        <v>87</v>
      </c>
      <c r="AD51" s="456">
        <f t="shared" si="18"/>
        <v>2325.5099999999998</v>
      </c>
      <c r="AE51" s="465">
        <f t="shared" si="18"/>
        <v>5.5</v>
      </c>
      <c r="AF51" s="456">
        <f t="shared" si="18"/>
        <v>220.52</v>
      </c>
      <c r="AG51" s="465">
        <f t="shared" si="19"/>
        <v>92.5</v>
      </c>
      <c r="AH51" s="456">
        <f t="shared" si="19"/>
        <v>2546.0299999999997</v>
      </c>
      <c r="AJ51" s="466">
        <v>25.46</v>
      </c>
      <c r="AK51" s="467">
        <v>26.73</v>
      </c>
      <c r="AM51" s="264">
        <f t="shared" si="11"/>
        <v>69</v>
      </c>
      <c r="AN51" s="264">
        <f t="shared" si="12"/>
        <v>5.5</v>
      </c>
      <c r="AO51" s="264">
        <f t="shared" si="14"/>
        <v>74.5</v>
      </c>
      <c r="AP51" s="264">
        <v>2080</v>
      </c>
    </row>
    <row r="52" spans="1:42" ht="17.45" customHeight="1" x14ac:dyDescent="0.4">
      <c r="A52" s="453" t="s">
        <v>296</v>
      </c>
      <c r="B52" s="453">
        <v>219</v>
      </c>
      <c r="C52" s="455" t="s">
        <v>597</v>
      </c>
      <c r="D52" s="454" t="s">
        <v>599</v>
      </c>
      <c r="E52" s="453" t="s">
        <v>293</v>
      </c>
      <c r="F52" s="464">
        <v>22.58</v>
      </c>
      <c r="G52" s="464" t="s">
        <v>151</v>
      </c>
      <c r="H52" s="465">
        <v>53.5</v>
      </c>
      <c r="I52" s="456">
        <f t="shared" si="5"/>
        <v>1208.03</v>
      </c>
      <c r="J52" s="465">
        <v>10.5</v>
      </c>
      <c r="K52" s="456">
        <f t="shared" si="6"/>
        <v>355.64</v>
      </c>
      <c r="L52" s="465">
        <f t="shared" si="15"/>
        <v>64</v>
      </c>
      <c r="M52" s="456">
        <f t="shared" si="15"/>
        <v>1563.67</v>
      </c>
      <c r="O52" s="465">
        <v>49.5</v>
      </c>
      <c r="P52" s="456">
        <f t="shared" si="7"/>
        <v>1117.71</v>
      </c>
      <c r="Q52" s="465">
        <v>0.5</v>
      </c>
      <c r="R52" s="456">
        <f t="shared" si="8"/>
        <v>16.940000000000001</v>
      </c>
      <c r="S52" s="465">
        <f t="shared" si="16"/>
        <v>50</v>
      </c>
      <c r="T52" s="456">
        <f t="shared" si="16"/>
        <v>1134.6500000000001</v>
      </c>
      <c r="U52" s="456"/>
      <c r="V52" s="465">
        <v>0</v>
      </c>
      <c r="W52" s="456">
        <f t="shared" si="9"/>
        <v>0</v>
      </c>
      <c r="X52" s="465">
        <v>0</v>
      </c>
      <c r="Y52" s="456">
        <f t="shared" si="10"/>
        <v>0</v>
      </c>
      <c r="Z52" s="465">
        <f t="shared" si="17"/>
        <v>0</v>
      </c>
      <c r="AA52" s="456">
        <f t="shared" si="17"/>
        <v>0</v>
      </c>
      <c r="AB52" s="456"/>
      <c r="AC52" s="465">
        <f t="shared" si="18"/>
        <v>103</v>
      </c>
      <c r="AD52" s="456">
        <f t="shared" si="18"/>
        <v>2325.7399999999998</v>
      </c>
      <c r="AE52" s="465">
        <f t="shared" si="18"/>
        <v>11</v>
      </c>
      <c r="AF52" s="456">
        <f t="shared" si="18"/>
        <v>372.58</v>
      </c>
      <c r="AG52" s="465">
        <f t="shared" si="19"/>
        <v>114</v>
      </c>
      <c r="AH52" s="456">
        <f t="shared" si="19"/>
        <v>2698.3199999999997</v>
      </c>
      <c r="AJ52" s="466">
        <v>21.5</v>
      </c>
      <c r="AK52" s="467">
        <v>22.58</v>
      </c>
      <c r="AM52" s="264">
        <f t="shared" si="11"/>
        <v>53.5</v>
      </c>
      <c r="AN52" s="264">
        <f t="shared" si="12"/>
        <v>10.5</v>
      </c>
      <c r="AO52" s="264">
        <f t="shared" si="14"/>
        <v>64</v>
      </c>
      <c r="AP52" s="264">
        <v>2080</v>
      </c>
    </row>
    <row r="53" spans="1:42" ht="17.45" customHeight="1" x14ac:dyDescent="0.4">
      <c r="A53" s="453" t="s">
        <v>296</v>
      </c>
      <c r="B53" s="453">
        <v>213</v>
      </c>
      <c r="C53" s="455" t="s">
        <v>597</v>
      </c>
      <c r="D53" s="454" t="s">
        <v>602</v>
      </c>
      <c r="E53" s="453" t="s">
        <v>293</v>
      </c>
      <c r="F53" s="464">
        <v>26.73</v>
      </c>
      <c r="G53" s="464" t="s">
        <v>151</v>
      </c>
      <c r="H53" s="465">
        <v>103.5</v>
      </c>
      <c r="I53" s="456">
        <f t="shared" si="5"/>
        <v>2766.56</v>
      </c>
      <c r="J53" s="465">
        <v>10</v>
      </c>
      <c r="K53" s="456">
        <f t="shared" si="6"/>
        <v>400.95</v>
      </c>
      <c r="L53" s="465">
        <f t="shared" si="15"/>
        <v>113.5</v>
      </c>
      <c r="M53" s="456">
        <f t="shared" si="15"/>
        <v>3167.5099999999998</v>
      </c>
      <c r="O53" s="465">
        <v>92.5</v>
      </c>
      <c r="P53" s="456">
        <f t="shared" si="7"/>
        <v>2472.5300000000002</v>
      </c>
      <c r="Q53" s="465">
        <v>7.5</v>
      </c>
      <c r="R53" s="456">
        <f t="shared" si="8"/>
        <v>300.70999999999998</v>
      </c>
      <c r="S53" s="465">
        <f t="shared" si="16"/>
        <v>100</v>
      </c>
      <c r="T53" s="456">
        <f t="shared" si="16"/>
        <v>2773.2400000000002</v>
      </c>
      <c r="U53" s="456"/>
      <c r="V53" s="465">
        <v>0</v>
      </c>
      <c r="W53" s="456">
        <f t="shared" si="9"/>
        <v>0</v>
      </c>
      <c r="X53" s="465">
        <v>0</v>
      </c>
      <c r="Y53" s="456">
        <f t="shared" si="10"/>
        <v>0</v>
      </c>
      <c r="Z53" s="465">
        <f t="shared" si="17"/>
        <v>0</v>
      </c>
      <c r="AA53" s="456">
        <f t="shared" si="17"/>
        <v>0</v>
      </c>
      <c r="AB53" s="456"/>
      <c r="AC53" s="465">
        <f t="shared" si="18"/>
        <v>196</v>
      </c>
      <c r="AD53" s="456">
        <f t="shared" si="18"/>
        <v>5239.09</v>
      </c>
      <c r="AE53" s="465">
        <f t="shared" si="18"/>
        <v>17.5</v>
      </c>
      <c r="AF53" s="456">
        <f t="shared" si="18"/>
        <v>701.66</v>
      </c>
      <c r="AG53" s="465">
        <f t="shared" si="19"/>
        <v>213.5</v>
      </c>
      <c r="AH53" s="456">
        <f t="shared" si="19"/>
        <v>5940.75</v>
      </c>
      <c r="AJ53" s="466">
        <v>25.46</v>
      </c>
      <c r="AK53" s="467">
        <v>26.73</v>
      </c>
      <c r="AM53" s="264">
        <f t="shared" si="11"/>
        <v>103.5</v>
      </c>
      <c r="AN53" s="264">
        <f t="shared" si="12"/>
        <v>10</v>
      </c>
      <c r="AO53" s="264">
        <f t="shared" si="14"/>
        <v>113.5</v>
      </c>
      <c r="AP53" s="264">
        <v>2080</v>
      </c>
    </row>
    <row r="54" spans="1:42" ht="17.45" customHeight="1" x14ac:dyDescent="0.4">
      <c r="A54" s="453" t="s">
        <v>296</v>
      </c>
      <c r="B54" s="453">
        <v>121</v>
      </c>
      <c r="C54" s="454" t="s">
        <v>299</v>
      </c>
      <c r="D54" s="454" t="s">
        <v>603</v>
      </c>
      <c r="E54" s="453" t="s">
        <v>293</v>
      </c>
      <c r="F54" s="464">
        <v>32.729999999999997</v>
      </c>
      <c r="G54" s="464" t="s">
        <v>151</v>
      </c>
      <c r="H54" s="465">
        <v>27</v>
      </c>
      <c r="I54" s="456">
        <f t="shared" si="5"/>
        <v>883.71</v>
      </c>
      <c r="J54" s="465">
        <v>15.5</v>
      </c>
      <c r="K54" s="456">
        <f t="shared" si="6"/>
        <v>760.97</v>
      </c>
      <c r="L54" s="465">
        <f t="shared" si="15"/>
        <v>42.5</v>
      </c>
      <c r="M54" s="456">
        <f t="shared" si="15"/>
        <v>1644.68</v>
      </c>
      <c r="O54" s="465">
        <v>0</v>
      </c>
      <c r="P54" s="456">
        <f t="shared" si="7"/>
        <v>0</v>
      </c>
      <c r="Q54" s="465">
        <v>0</v>
      </c>
      <c r="R54" s="456">
        <f t="shared" si="8"/>
        <v>0</v>
      </c>
      <c r="S54" s="465">
        <f t="shared" si="16"/>
        <v>0</v>
      </c>
      <c r="T54" s="456">
        <f t="shared" si="16"/>
        <v>0</v>
      </c>
      <c r="U54" s="456"/>
      <c r="V54" s="465">
        <v>0</v>
      </c>
      <c r="W54" s="456">
        <f t="shared" si="9"/>
        <v>0</v>
      </c>
      <c r="X54" s="465">
        <v>0</v>
      </c>
      <c r="Y54" s="456">
        <f t="shared" si="10"/>
        <v>0</v>
      </c>
      <c r="Z54" s="465">
        <f t="shared" si="17"/>
        <v>0</v>
      </c>
      <c r="AA54" s="456">
        <f t="shared" si="17"/>
        <v>0</v>
      </c>
      <c r="AB54" s="456"/>
      <c r="AC54" s="465">
        <f t="shared" si="18"/>
        <v>27</v>
      </c>
      <c r="AD54" s="456">
        <f t="shared" si="18"/>
        <v>883.71</v>
      </c>
      <c r="AE54" s="465">
        <f t="shared" si="18"/>
        <v>15.5</v>
      </c>
      <c r="AF54" s="456">
        <f t="shared" si="18"/>
        <v>760.97</v>
      </c>
      <c r="AG54" s="465">
        <f t="shared" si="19"/>
        <v>42.5</v>
      </c>
      <c r="AH54" s="456">
        <f t="shared" si="19"/>
        <v>1644.68</v>
      </c>
      <c r="AJ54" s="466">
        <v>31.17</v>
      </c>
      <c r="AK54" s="467">
        <v>32.729999999999997</v>
      </c>
      <c r="AM54" s="264">
        <f t="shared" si="11"/>
        <v>27</v>
      </c>
      <c r="AN54" s="264">
        <f t="shared" si="12"/>
        <v>15.5</v>
      </c>
      <c r="AO54" s="264">
        <f t="shared" si="14"/>
        <v>42.5</v>
      </c>
      <c r="AP54" s="264">
        <v>2080</v>
      </c>
    </row>
    <row r="55" spans="1:42" ht="17.45" customHeight="1" x14ac:dyDescent="0.4">
      <c r="A55" s="453" t="s">
        <v>296</v>
      </c>
      <c r="B55" s="453">
        <v>91</v>
      </c>
      <c r="C55" s="454" t="s">
        <v>299</v>
      </c>
      <c r="D55" s="454" t="s">
        <v>604</v>
      </c>
      <c r="E55" s="453" t="s">
        <v>293</v>
      </c>
      <c r="F55" s="464">
        <v>34.32</v>
      </c>
      <c r="G55" s="464" t="s">
        <v>151</v>
      </c>
      <c r="H55" s="465">
        <v>2.5</v>
      </c>
      <c r="I55" s="456">
        <f t="shared" si="5"/>
        <v>85.8</v>
      </c>
      <c r="J55" s="465">
        <v>7</v>
      </c>
      <c r="K55" s="456">
        <f t="shared" si="6"/>
        <v>360.36</v>
      </c>
      <c r="L55" s="465">
        <f t="shared" si="15"/>
        <v>9.5</v>
      </c>
      <c r="M55" s="456">
        <f t="shared" si="15"/>
        <v>446.16</v>
      </c>
      <c r="O55" s="465">
        <v>0</v>
      </c>
      <c r="P55" s="456">
        <f t="shared" si="7"/>
        <v>0</v>
      </c>
      <c r="Q55" s="465">
        <v>0</v>
      </c>
      <c r="R55" s="456">
        <f t="shared" si="8"/>
        <v>0</v>
      </c>
      <c r="S55" s="465">
        <f t="shared" si="16"/>
        <v>0</v>
      </c>
      <c r="T55" s="456">
        <f t="shared" si="16"/>
        <v>0</v>
      </c>
      <c r="U55" s="456"/>
      <c r="V55" s="465">
        <v>0</v>
      </c>
      <c r="W55" s="456">
        <f t="shared" si="9"/>
        <v>0</v>
      </c>
      <c r="X55" s="465">
        <v>0</v>
      </c>
      <c r="Y55" s="456">
        <f t="shared" si="10"/>
        <v>0</v>
      </c>
      <c r="Z55" s="465">
        <f t="shared" si="17"/>
        <v>0</v>
      </c>
      <c r="AA55" s="456">
        <f t="shared" si="17"/>
        <v>0</v>
      </c>
      <c r="AB55" s="456"/>
      <c r="AC55" s="465">
        <f t="shared" si="18"/>
        <v>2.5</v>
      </c>
      <c r="AD55" s="456">
        <f t="shared" si="18"/>
        <v>85.8</v>
      </c>
      <c r="AE55" s="465">
        <f t="shared" si="18"/>
        <v>7</v>
      </c>
      <c r="AF55" s="456">
        <f t="shared" si="18"/>
        <v>360.36</v>
      </c>
      <c r="AG55" s="465">
        <f t="shared" si="19"/>
        <v>9.5</v>
      </c>
      <c r="AH55" s="456">
        <f t="shared" si="19"/>
        <v>446.16</v>
      </c>
      <c r="AJ55" s="466">
        <v>32.69</v>
      </c>
      <c r="AK55" s="467">
        <v>34.32</v>
      </c>
      <c r="AM55" s="264">
        <f t="shared" si="11"/>
        <v>2.5</v>
      </c>
      <c r="AN55" s="264">
        <f t="shared" si="12"/>
        <v>7</v>
      </c>
      <c r="AO55" s="264">
        <f t="shared" si="14"/>
        <v>9.5</v>
      </c>
      <c r="AP55" s="264">
        <v>2080</v>
      </c>
    </row>
    <row r="56" spans="1:42" ht="17.45" customHeight="1" x14ac:dyDescent="0.4">
      <c r="A56" s="453" t="s">
        <v>296</v>
      </c>
      <c r="B56" s="453">
        <v>204</v>
      </c>
      <c r="C56" s="454" t="s">
        <v>299</v>
      </c>
      <c r="D56" s="454" t="s">
        <v>605</v>
      </c>
      <c r="E56" s="453" t="s">
        <v>293</v>
      </c>
      <c r="F56" s="464">
        <v>26.02</v>
      </c>
      <c r="G56" s="464" t="s">
        <v>151</v>
      </c>
      <c r="H56" s="465">
        <v>33</v>
      </c>
      <c r="I56" s="456">
        <f t="shared" si="5"/>
        <v>858.66</v>
      </c>
      <c r="J56" s="465">
        <v>5</v>
      </c>
      <c r="K56" s="456">
        <f t="shared" si="6"/>
        <v>195.15</v>
      </c>
      <c r="L56" s="465">
        <f t="shared" si="15"/>
        <v>38</v>
      </c>
      <c r="M56" s="456">
        <f t="shared" si="15"/>
        <v>1053.81</v>
      </c>
      <c r="O56" s="465">
        <v>0</v>
      </c>
      <c r="P56" s="456">
        <f t="shared" si="7"/>
        <v>0</v>
      </c>
      <c r="Q56" s="465">
        <v>0</v>
      </c>
      <c r="R56" s="456">
        <f t="shared" si="8"/>
        <v>0</v>
      </c>
      <c r="S56" s="465">
        <f t="shared" si="16"/>
        <v>0</v>
      </c>
      <c r="T56" s="456">
        <f t="shared" si="16"/>
        <v>0</v>
      </c>
      <c r="U56" s="456"/>
      <c r="V56" s="465">
        <v>0</v>
      </c>
      <c r="W56" s="456">
        <f t="shared" si="9"/>
        <v>0</v>
      </c>
      <c r="X56" s="465">
        <v>0</v>
      </c>
      <c r="Y56" s="456">
        <f t="shared" si="10"/>
        <v>0</v>
      </c>
      <c r="Z56" s="465">
        <f t="shared" si="17"/>
        <v>0</v>
      </c>
      <c r="AA56" s="456">
        <f t="shared" si="17"/>
        <v>0</v>
      </c>
      <c r="AB56" s="456"/>
      <c r="AC56" s="465">
        <f t="shared" si="18"/>
        <v>33</v>
      </c>
      <c r="AD56" s="456">
        <f t="shared" si="18"/>
        <v>858.66</v>
      </c>
      <c r="AE56" s="465">
        <f t="shared" si="18"/>
        <v>5</v>
      </c>
      <c r="AF56" s="456">
        <f t="shared" si="18"/>
        <v>195.15</v>
      </c>
      <c r="AG56" s="465">
        <f t="shared" si="19"/>
        <v>38</v>
      </c>
      <c r="AH56" s="456">
        <f t="shared" si="19"/>
        <v>1053.81</v>
      </c>
      <c r="AJ56" s="466">
        <v>24.78</v>
      </c>
      <c r="AK56" s="467">
        <v>26.02</v>
      </c>
      <c r="AM56" s="264">
        <f t="shared" si="11"/>
        <v>33</v>
      </c>
      <c r="AN56" s="264">
        <f t="shared" si="12"/>
        <v>5</v>
      </c>
      <c r="AO56" s="264">
        <f t="shared" si="14"/>
        <v>38</v>
      </c>
      <c r="AP56" s="264">
        <v>2080</v>
      </c>
    </row>
    <row r="57" spans="1:42" ht="17.45" customHeight="1" x14ac:dyDescent="0.4">
      <c r="A57" s="453" t="s">
        <v>309</v>
      </c>
      <c r="B57" s="453">
        <v>83</v>
      </c>
      <c r="C57" s="454" t="s">
        <v>606</v>
      </c>
      <c r="D57" s="454" t="s">
        <v>607</v>
      </c>
      <c r="E57" s="453" t="s">
        <v>293</v>
      </c>
      <c r="F57" s="464">
        <v>35.18</v>
      </c>
      <c r="G57" s="464" t="s">
        <v>151</v>
      </c>
      <c r="H57" s="465">
        <v>0</v>
      </c>
      <c r="I57" s="456">
        <f t="shared" si="5"/>
        <v>0</v>
      </c>
      <c r="J57" s="465">
        <v>0</v>
      </c>
      <c r="K57" s="456">
        <f t="shared" si="6"/>
        <v>0</v>
      </c>
      <c r="L57" s="465">
        <f t="shared" si="15"/>
        <v>0</v>
      </c>
      <c r="M57" s="456">
        <f t="shared" si="15"/>
        <v>0</v>
      </c>
      <c r="O57" s="465">
        <v>2</v>
      </c>
      <c r="P57" s="456">
        <f t="shared" si="7"/>
        <v>70.36</v>
      </c>
      <c r="Q57" s="465">
        <v>0</v>
      </c>
      <c r="R57" s="456">
        <f t="shared" si="8"/>
        <v>0</v>
      </c>
      <c r="S57" s="465">
        <f t="shared" si="16"/>
        <v>2</v>
      </c>
      <c r="T57" s="456">
        <f t="shared" si="16"/>
        <v>70.36</v>
      </c>
      <c r="U57" s="456"/>
      <c r="V57" s="465">
        <v>0</v>
      </c>
      <c r="W57" s="456">
        <f t="shared" si="9"/>
        <v>0</v>
      </c>
      <c r="X57" s="465">
        <v>0</v>
      </c>
      <c r="Y57" s="456">
        <f t="shared" si="10"/>
        <v>0</v>
      </c>
      <c r="Z57" s="465">
        <f t="shared" si="17"/>
        <v>0</v>
      </c>
      <c r="AA57" s="456">
        <f t="shared" si="17"/>
        <v>0</v>
      </c>
      <c r="AB57" s="456"/>
      <c r="AC57" s="465">
        <f t="shared" si="18"/>
        <v>2</v>
      </c>
      <c r="AD57" s="456">
        <f t="shared" si="18"/>
        <v>70.36</v>
      </c>
      <c r="AE57" s="465">
        <f t="shared" si="18"/>
        <v>0</v>
      </c>
      <c r="AF57" s="456">
        <f t="shared" si="18"/>
        <v>0</v>
      </c>
      <c r="AG57" s="465">
        <f t="shared" si="19"/>
        <v>2</v>
      </c>
      <c r="AH57" s="456">
        <f t="shared" si="19"/>
        <v>70.36</v>
      </c>
      <c r="AJ57" s="466">
        <v>33.5</v>
      </c>
      <c r="AK57" s="467">
        <v>35.18</v>
      </c>
      <c r="AM57" s="264">
        <f t="shared" si="11"/>
        <v>0</v>
      </c>
      <c r="AN57" s="264">
        <f t="shared" si="12"/>
        <v>0</v>
      </c>
      <c r="AO57" s="264">
        <f t="shared" si="14"/>
        <v>0</v>
      </c>
      <c r="AP57" s="264">
        <v>2080</v>
      </c>
    </row>
    <row r="58" spans="1:42" ht="17.45" customHeight="1" x14ac:dyDescent="0.4">
      <c r="A58" s="453" t="s">
        <v>313</v>
      </c>
      <c r="B58" s="453">
        <v>154</v>
      </c>
      <c r="C58" s="454" t="s">
        <v>315</v>
      </c>
      <c r="D58" s="454" t="s">
        <v>608</v>
      </c>
      <c r="E58" s="453" t="s">
        <v>293</v>
      </c>
      <c r="F58" s="464">
        <v>4337.9799999999996</v>
      </c>
      <c r="G58" s="464" t="s">
        <v>294</v>
      </c>
      <c r="H58" s="465">
        <v>104.95391999999998</v>
      </c>
      <c r="I58" s="456">
        <f t="shared" si="5"/>
        <v>5691.1</v>
      </c>
      <c r="J58" s="465">
        <v>0</v>
      </c>
      <c r="K58" s="456">
        <f t="shared" si="6"/>
        <v>0</v>
      </c>
      <c r="L58" s="465">
        <f t="shared" si="15"/>
        <v>104.95391999999998</v>
      </c>
      <c r="M58" s="456">
        <f t="shared" si="15"/>
        <v>5691.1</v>
      </c>
      <c r="O58" s="465">
        <v>72.93407999999998</v>
      </c>
      <c r="P58" s="456">
        <f t="shared" si="7"/>
        <v>3954.83</v>
      </c>
      <c r="Q58" s="465">
        <v>0</v>
      </c>
      <c r="R58" s="456">
        <f t="shared" si="8"/>
        <v>0</v>
      </c>
      <c r="S58" s="465">
        <f t="shared" si="16"/>
        <v>72.93407999999998</v>
      </c>
      <c r="T58" s="456">
        <f t="shared" si="16"/>
        <v>3954.83</v>
      </c>
      <c r="U58" s="456"/>
      <c r="V58" s="465">
        <v>0</v>
      </c>
      <c r="W58" s="456">
        <f t="shared" si="9"/>
        <v>0</v>
      </c>
      <c r="X58" s="465">
        <v>0</v>
      </c>
      <c r="Y58" s="456">
        <f t="shared" si="10"/>
        <v>0</v>
      </c>
      <c r="Z58" s="465">
        <f t="shared" si="17"/>
        <v>0</v>
      </c>
      <c r="AA58" s="456">
        <f t="shared" si="17"/>
        <v>0</v>
      </c>
      <c r="AB58" s="456"/>
      <c r="AC58" s="465">
        <f t="shared" si="18"/>
        <v>177.88799999999998</v>
      </c>
      <c r="AD58" s="456">
        <f t="shared" si="18"/>
        <v>9645.93</v>
      </c>
      <c r="AE58" s="465">
        <f t="shared" si="18"/>
        <v>0</v>
      </c>
      <c r="AF58" s="456">
        <f t="shared" si="18"/>
        <v>0</v>
      </c>
      <c r="AG58" s="465">
        <f t="shared" si="19"/>
        <v>177.88799999999998</v>
      </c>
      <c r="AH58" s="456">
        <f t="shared" si="19"/>
        <v>9645.93</v>
      </c>
      <c r="AJ58" s="466">
        <v>4131.41</v>
      </c>
      <c r="AK58" s="467">
        <v>4337.9799999999996</v>
      </c>
      <c r="AM58" s="264">
        <f t="shared" si="11"/>
        <v>104.95391999999998</v>
      </c>
      <c r="AN58" s="264">
        <f t="shared" si="12"/>
        <v>0</v>
      </c>
      <c r="AO58" s="264">
        <f t="shared" si="14"/>
        <v>104.95391999999998</v>
      </c>
      <c r="AP58" s="264">
        <v>2080</v>
      </c>
    </row>
    <row r="59" spans="1:42" ht="17.45" customHeight="1" x14ac:dyDescent="0.4">
      <c r="A59" s="453" t="s">
        <v>296</v>
      </c>
      <c r="B59" s="453">
        <v>80</v>
      </c>
      <c r="C59" s="455" t="s">
        <v>298</v>
      </c>
      <c r="D59" s="454" t="s">
        <v>599</v>
      </c>
      <c r="E59" s="453" t="s">
        <v>293</v>
      </c>
      <c r="F59" s="464">
        <v>38.82</v>
      </c>
      <c r="G59" s="464" t="s">
        <v>151</v>
      </c>
      <c r="H59" s="465">
        <v>44.5</v>
      </c>
      <c r="I59" s="456">
        <f t="shared" si="5"/>
        <v>1727.49</v>
      </c>
      <c r="J59" s="465">
        <v>7.5</v>
      </c>
      <c r="K59" s="456">
        <f t="shared" si="6"/>
        <v>436.73</v>
      </c>
      <c r="L59" s="465">
        <f t="shared" si="15"/>
        <v>52</v>
      </c>
      <c r="M59" s="456">
        <f t="shared" si="15"/>
        <v>2164.2200000000003</v>
      </c>
      <c r="O59" s="465">
        <v>0</v>
      </c>
      <c r="P59" s="456">
        <f t="shared" si="7"/>
        <v>0</v>
      </c>
      <c r="Q59" s="465">
        <v>0</v>
      </c>
      <c r="R59" s="456">
        <f t="shared" si="8"/>
        <v>0</v>
      </c>
      <c r="S59" s="465">
        <f t="shared" si="16"/>
        <v>0</v>
      </c>
      <c r="T59" s="456">
        <f t="shared" si="16"/>
        <v>0</v>
      </c>
      <c r="U59" s="456"/>
      <c r="V59" s="465">
        <v>0</v>
      </c>
      <c r="W59" s="456">
        <f t="shared" si="9"/>
        <v>0</v>
      </c>
      <c r="X59" s="465">
        <v>0</v>
      </c>
      <c r="Y59" s="456">
        <f t="shared" si="10"/>
        <v>0</v>
      </c>
      <c r="Z59" s="465">
        <f t="shared" si="17"/>
        <v>0</v>
      </c>
      <c r="AA59" s="456">
        <f t="shared" si="17"/>
        <v>0</v>
      </c>
      <c r="AB59" s="456"/>
      <c r="AC59" s="465">
        <f t="shared" si="18"/>
        <v>44.5</v>
      </c>
      <c r="AD59" s="456">
        <f t="shared" si="18"/>
        <v>1727.49</v>
      </c>
      <c r="AE59" s="465">
        <f t="shared" si="18"/>
        <v>7.5</v>
      </c>
      <c r="AF59" s="456">
        <f t="shared" si="18"/>
        <v>436.73</v>
      </c>
      <c r="AG59" s="465">
        <f t="shared" si="19"/>
        <v>52</v>
      </c>
      <c r="AH59" s="456">
        <f t="shared" si="19"/>
        <v>2164.2200000000003</v>
      </c>
      <c r="AJ59" s="466">
        <v>36.97</v>
      </c>
      <c r="AK59" s="467">
        <v>38.82</v>
      </c>
      <c r="AM59" s="264">
        <f t="shared" si="11"/>
        <v>44.5</v>
      </c>
      <c r="AN59" s="264">
        <f t="shared" si="12"/>
        <v>7.5</v>
      </c>
      <c r="AO59" s="264">
        <f t="shared" si="14"/>
        <v>52</v>
      </c>
      <c r="AP59" s="264">
        <v>2080</v>
      </c>
    </row>
    <row r="60" spans="1:42" ht="17.45" customHeight="1" x14ac:dyDescent="0.4">
      <c r="A60" s="453" t="s">
        <v>296</v>
      </c>
      <c r="B60" s="453">
        <v>196</v>
      </c>
      <c r="C60" s="454" t="s">
        <v>609</v>
      </c>
      <c r="D60" s="454" t="s">
        <v>610</v>
      </c>
      <c r="E60" s="453" t="s">
        <v>293</v>
      </c>
      <c r="F60" s="464">
        <v>23.82</v>
      </c>
      <c r="G60" s="464" t="s">
        <v>151</v>
      </c>
      <c r="H60" s="465">
        <v>6</v>
      </c>
      <c r="I60" s="456">
        <f t="shared" si="5"/>
        <v>142.91999999999999</v>
      </c>
      <c r="J60" s="465">
        <v>16.5</v>
      </c>
      <c r="K60" s="456">
        <f t="shared" si="6"/>
        <v>589.54999999999995</v>
      </c>
      <c r="L60" s="465">
        <f t="shared" si="15"/>
        <v>22.5</v>
      </c>
      <c r="M60" s="456">
        <f t="shared" si="15"/>
        <v>732.46999999999991</v>
      </c>
      <c r="O60" s="465">
        <v>0</v>
      </c>
      <c r="P60" s="456">
        <f t="shared" si="7"/>
        <v>0</v>
      </c>
      <c r="Q60" s="465">
        <v>0</v>
      </c>
      <c r="R60" s="456">
        <f t="shared" si="8"/>
        <v>0</v>
      </c>
      <c r="S60" s="465">
        <f t="shared" si="16"/>
        <v>0</v>
      </c>
      <c r="T60" s="456">
        <f t="shared" si="16"/>
        <v>0</v>
      </c>
      <c r="U60" s="456"/>
      <c r="V60" s="465">
        <v>0</v>
      </c>
      <c r="W60" s="456">
        <f t="shared" si="9"/>
        <v>0</v>
      </c>
      <c r="X60" s="465">
        <v>0</v>
      </c>
      <c r="Y60" s="456">
        <f t="shared" si="10"/>
        <v>0</v>
      </c>
      <c r="Z60" s="465">
        <f t="shared" si="17"/>
        <v>0</v>
      </c>
      <c r="AA60" s="456">
        <f t="shared" si="17"/>
        <v>0</v>
      </c>
      <c r="AB60" s="456"/>
      <c r="AC60" s="465">
        <f t="shared" si="18"/>
        <v>6</v>
      </c>
      <c r="AD60" s="456">
        <f t="shared" si="18"/>
        <v>142.91999999999999</v>
      </c>
      <c r="AE60" s="465">
        <f t="shared" si="18"/>
        <v>16.5</v>
      </c>
      <c r="AF60" s="456">
        <f t="shared" si="18"/>
        <v>589.54999999999995</v>
      </c>
      <c r="AG60" s="465">
        <f t="shared" si="19"/>
        <v>22.5</v>
      </c>
      <c r="AH60" s="456">
        <f t="shared" si="19"/>
        <v>732.46999999999991</v>
      </c>
      <c r="AJ60" s="466">
        <v>22.69</v>
      </c>
      <c r="AK60" s="467">
        <v>23.82</v>
      </c>
      <c r="AM60" s="264">
        <f t="shared" si="11"/>
        <v>6</v>
      </c>
      <c r="AN60" s="264">
        <f t="shared" si="12"/>
        <v>16.5</v>
      </c>
      <c r="AO60" s="264">
        <f t="shared" si="14"/>
        <v>22.5</v>
      </c>
      <c r="AP60" s="264">
        <v>2080</v>
      </c>
    </row>
    <row r="61" spans="1:42" ht="17.45" customHeight="1" x14ac:dyDescent="0.4">
      <c r="A61" s="453" t="s">
        <v>302</v>
      </c>
      <c r="B61" s="453">
        <v>152</v>
      </c>
      <c r="C61" s="454" t="s">
        <v>305</v>
      </c>
      <c r="D61" s="454" t="s">
        <v>559</v>
      </c>
      <c r="E61" s="453" t="s">
        <v>293</v>
      </c>
      <c r="F61" s="464">
        <v>37.57</v>
      </c>
      <c r="G61" s="464" t="s">
        <v>151</v>
      </c>
      <c r="H61" s="465">
        <v>194.5</v>
      </c>
      <c r="I61" s="456">
        <f t="shared" si="5"/>
        <v>7307.37</v>
      </c>
      <c r="J61" s="465">
        <v>40</v>
      </c>
      <c r="K61" s="456">
        <f t="shared" si="6"/>
        <v>2254.1999999999998</v>
      </c>
      <c r="L61" s="465">
        <f t="shared" si="15"/>
        <v>234.5</v>
      </c>
      <c r="M61" s="456">
        <f t="shared" si="15"/>
        <v>9561.57</v>
      </c>
      <c r="O61" s="465">
        <v>17</v>
      </c>
      <c r="P61" s="456">
        <f t="shared" si="7"/>
        <v>638.69000000000005</v>
      </c>
      <c r="Q61" s="465">
        <v>0</v>
      </c>
      <c r="R61" s="456">
        <f t="shared" si="8"/>
        <v>0</v>
      </c>
      <c r="S61" s="465">
        <f t="shared" si="16"/>
        <v>17</v>
      </c>
      <c r="T61" s="456">
        <f t="shared" si="16"/>
        <v>638.69000000000005</v>
      </c>
      <c r="U61" s="456"/>
      <c r="V61" s="465">
        <v>0</v>
      </c>
      <c r="W61" s="456">
        <f t="shared" si="9"/>
        <v>0</v>
      </c>
      <c r="X61" s="465">
        <v>0</v>
      </c>
      <c r="Y61" s="456">
        <f t="shared" si="10"/>
        <v>0</v>
      </c>
      <c r="Z61" s="465">
        <f t="shared" si="17"/>
        <v>0</v>
      </c>
      <c r="AA61" s="456">
        <f t="shared" si="17"/>
        <v>0</v>
      </c>
      <c r="AB61" s="456"/>
      <c r="AC61" s="465">
        <f t="shared" si="18"/>
        <v>211.5</v>
      </c>
      <c r="AD61" s="456">
        <f t="shared" si="18"/>
        <v>7946.0599999999995</v>
      </c>
      <c r="AE61" s="465">
        <f t="shared" si="18"/>
        <v>40</v>
      </c>
      <c r="AF61" s="456">
        <f t="shared" si="18"/>
        <v>2254.1999999999998</v>
      </c>
      <c r="AG61" s="465">
        <f t="shared" si="19"/>
        <v>251.5</v>
      </c>
      <c r="AH61" s="456">
        <f t="shared" si="19"/>
        <v>10200.259999999998</v>
      </c>
      <c r="AJ61" s="466">
        <v>35.78</v>
      </c>
      <c r="AK61" s="467">
        <v>37.57</v>
      </c>
      <c r="AM61" s="264">
        <f t="shared" si="11"/>
        <v>194.5</v>
      </c>
      <c r="AN61" s="264">
        <f t="shared" si="12"/>
        <v>40</v>
      </c>
      <c r="AO61" s="264">
        <f t="shared" si="14"/>
        <v>234.5</v>
      </c>
      <c r="AP61" s="264">
        <v>2080</v>
      </c>
    </row>
    <row r="62" spans="1:42" ht="17.45" customHeight="1" x14ac:dyDescent="0.4">
      <c r="A62" s="453" t="s">
        <v>302</v>
      </c>
      <c r="B62" s="453">
        <v>171</v>
      </c>
      <c r="C62" s="454" t="s">
        <v>306</v>
      </c>
      <c r="D62" s="454" t="s">
        <v>611</v>
      </c>
      <c r="E62" s="453" t="s">
        <v>293</v>
      </c>
      <c r="F62" s="464">
        <v>24.82</v>
      </c>
      <c r="G62" s="464" t="s">
        <v>151</v>
      </c>
      <c r="H62" s="465">
        <v>355.5</v>
      </c>
      <c r="I62" s="456">
        <f t="shared" si="5"/>
        <v>8823.51</v>
      </c>
      <c r="J62" s="465">
        <v>24</v>
      </c>
      <c r="K62" s="456">
        <f t="shared" si="6"/>
        <v>893.52</v>
      </c>
      <c r="L62" s="465">
        <f t="shared" si="15"/>
        <v>379.5</v>
      </c>
      <c r="M62" s="456">
        <f t="shared" si="15"/>
        <v>9717.0300000000007</v>
      </c>
      <c r="O62" s="465">
        <v>11.5</v>
      </c>
      <c r="P62" s="456">
        <f t="shared" si="7"/>
        <v>285.43</v>
      </c>
      <c r="Q62" s="465">
        <v>0</v>
      </c>
      <c r="R62" s="456">
        <f t="shared" si="8"/>
        <v>0</v>
      </c>
      <c r="S62" s="465">
        <f t="shared" si="16"/>
        <v>11.5</v>
      </c>
      <c r="T62" s="456">
        <f t="shared" si="16"/>
        <v>285.43</v>
      </c>
      <c r="U62" s="456"/>
      <c r="V62" s="465">
        <v>0</v>
      </c>
      <c r="W62" s="456">
        <f t="shared" si="9"/>
        <v>0</v>
      </c>
      <c r="X62" s="465">
        <v>0</v>
      </c>
      <c r="Y62" s="456">
        <f t="shared" si="10"/>
        <v>0</v>
      </c>
      <c r="Z62" s="465">
        <f t="shared" si="17"/>
        <v>0</v>
      </c>
      <c r="AA62" s="456">
        <f t="shared" si="17"/>
        <v>0</v>
      </c>
      <c r="AB62" s="456"/>
      <c r="AC62" s="465">
        <f t="shared" si="18"/>
        <v>367</v>
      </c>
      <c r="AD62" s="456">
        <f t="shared" si="18"/>
        <v>9108.94</v>
      </c>
      <c r="AE62" s="465">
        <f t="shared" si="18"/>
        <v>24</v>
      </c>
      <c r="AF62" s="456">
        <f t="shared" si="18"/>
        <v>893.52</v>
      </c>
      <c r="AG62" s="465">
        <f t="shared" si="19"/>
        <v>391</v>
      </c>
      <c r="AH62" s="456">
        <f t="shared" si="19"/>
        <v>10002.460000000001</v>
      </c>
      <c r="AJ62" s="466">
        <v>23.64</v>
      </c>
      <c r="AK62" s="467">
        <v>24.82</v>
      </c>
      <c r="AM62" s="264">
        <f t="shared" si="11"/>
        <v>355.5</v>
      </c>
      <c r="AN62" s="264">
        <f t="shared" si="12"/>
        <v>24</v>
      </c>
      <c r="AO62" s="264">
        <f t="shared" si="14"/>
        <v>379.5</v>
      </c>
      <c r="AP62" s="264">
        <v>2080</v>
      </c>
    </row>
    <row r="63" spans="1:42" ht="17.45" customHeight="1" x14ac:dyDescent="0.4">
      <c r="A63" s="453" t="s">
        <v>302</v>
      </c>
      <c r="B63" s="453">
        <v>164</v>
      </c>
      <c r="C63" s="454" t="s">
        <v>306</v>
      </c>
      <c r="D63" s="454" t="s">
        <v>612</v>
      </c>
      <c r="E63" s="453" t="s">
        <v>293</v>
      </c>
      <c r="F63" s="464">
        <v>27.14</v>
      </c>
      <c r="G63" s="464" t="s">
        <v>151</v>
      </c>
      <c r="H63" s="465">
        <v>395.5</v>
      </c>
      <c r="I63" s="456">
        <f t="shared" si="5"/>
        <v>10733.87</v>
      </c>
      <c r="J63" s="465">
        <v>13.5</v>
      </c>
      <c r="K63" s="456">
        <f t="shared" si="6"/>
        <v>549.59</v>
      </c>
      <c r="L63" s="465">
        <f t="shared" si="15"/>
        <v>409</v>
      </c>
      <c r="M63" s="456">
        <f t="shared" si="15"/>
        <v>11283.460000000001</v>
      </c>
      <c r="O63" s="465">
        <v>10</v>
      </c>
      <c r="P63" s="456">
        <f t="shared" si="7"/>
        <v>271.39999999999998</v>
      </c>
      <c r="Q63" s="465">
        <v>0</v>
      </c>
      <c r="R63" s="456">
        <f t="shared" si="8"/>
        <v>0</v>
      </c>
      <c r="S63" s="465">
        <f t="shared" si="16"/>
        <v>10</v>
      </c>
      <c r="T63" s="456">
        <f t="shared" si="16"/>
        <v>271.39999999999998</v>
      </c>
      <c r="U63" s="456"/>
      <c r="V63" s="465">
        <v>0</v>
      </c>
      <c r="W63" s="456">
        <f t="shared" si="9"/>
        <v>0</v>
      </c>
      <c r="X63" s="465">
        <v>0</v>
      </c>
      <c r="Y63" s="456">
        <f t="shared" si="10"/>
        <v>0</v>
      </c>
      <c r="Z63" s="465">
        <f t="shared" si="17"/>
        <v>0</v>
      </c>
      <c r="AA63" s="456">
        <f t="shared" si="17"/>
        <v>0</v>
      </c>
      <c r="AB63" s="456"/>
      <c r="AC63" s="465">
        <f t="shared" si="18"/>
        <v>405.5</v>
      </c>
      <c r="AD63" s="456">
        <f t="shared" si="18"/>
        <v>11005.27</v>
      </c>
      <c r="AE63" s="465">
        <f t="shared" si="18"/>
        <v>13.5</v>
      </c>
      <c r="AF63" s="456">
        <f t="shared" si="18"/>
        <v>549.59</v>
      </c>
      <c r="AG63" s="465">
        <f t="shared" si="19"/>
        <v>419</v>
      </c>
      <c r="AH63" s="456">
        <f t="shared" si="19"/>
        <v>11554.86</v>
      </c>
      <c r="AJ63" s="466">
        <v>25.85</v>
      </c>
      <c r="AK63" s="467">
        <v>27.14</v>
      </c>
      <c r="AM63" s="264">
        <f t="shared" si="11"/>
        <v>395.5</v>
      </c>
      <c r="AN63" s="264">
        <f t="shared" si="12"/>
        <v>13.5</v>
      </c>
      <c r="AO63" s="264">
        <f t="shared" si="14"/>
        <v>409</v>
      </c>
      <c r="AP63" s="264">
        <v>2080</v>
      </c>
    </row>
    <row r="64" spans="1:42" ht="17.45" customHeight="1" x14ac:dyDescent="0.4">
      <c r="A64" s="453" t="s">
        <v>302</v>
      </c>
      <c r="B64" s="453">
        <v>221</v>
      </c>
      <c r="C64" s="454" t="s">
        <v>306</v>
      </c>
      <c r="D64" s="454" t="s">
        <v>577</v>
      </c>
      <c r="E64" s="453" t="s">
        <v>293</v>
      </c>
      <c r="F64" s="464">
        <v>20.86</v>
      </c>
      <c r="G64" s="464" t="s">
        <v>151</v>
      </c>
      <c r="H64" s="465">
        <v>218</v>
      </c>
      <c r="I64" s="456">
        <f t="shared" si="5"/>
        <v>4547.4799999999996</v>
      </c>
      <c r="J64" s="465">
        <v>0</v>
      </c>
      <c r="K64" s="456">
        <f t="shared" si="6"/>
        <v>0</v>
      </c>
      <c r="L64" s="465">
        <f t="shared" si="15"/>
        <v>218</v>
      </c>
      <c r="M64" s="456">
        <f t="shared" si="15"/>
        <v>4547.4799999999996</v>
      </c>
      <c r="O64" s="465">
        <v>10.5</v>
      </c>
      <c r="P64" s="456">
        <f t="shared" si="7"/>
        <v>219.03</v>
      </c>
      <c r="Q64" s="465">
        <v>0</v>
      </c>
      <c r="R64" s="456">
        <f t="shared" si="8"/>
        <v>0</v>
      </c>
      <c r="S64" s="465">
        <f t="shared" si="16"/>
        <v>10.5</v>
      </c>
      <c r="T64" s="456">
        <f t="shared" si="16"/>
        <v>219.03</v>
      </c>
      <c r="U64" s="456"/>
      <c r="V64" s="465">
        <v>0</v>
      </c>
      <c r="W64" s="456">
        <f t="shared" si="9"/>
        <v>0</v>
      </c>
      <c r="X64" s="465">
        <v>0</v>
      </c>
      <c r="Y64" s="456">
        <f t="shared" si="10"/>
        <v>0</v>
      </c>
      <c r="Z64" s="465">
        <f t="shared" si="17"/>
        <v>0</v>
      </c>
      <c r="AA64" s="456">
        <f t="shared" si="17"/>
        <v>0</v>
      </c>
      <c r="AB64" s="456"/>
      <c r="AC64" s="465">
        <f t="shared" si="18"/>
        <v>228.5</v>
      </c>
      <c r="AD64" s="456">
        <f t="shared" si="18"/>
        <v>4766.5099999999993</v>
      </c>
      <c r="AE64" s="465">
        <f t="shared" si="18"/>
        <v>0</v>
      </c>
      <c r="AF64" s="456">
        <f t="shared" si="18"/>
        <v>0</v>
      </c>
      <c r="AG64" s="465">
        <f t="shared" si="19"/>
        <v>228.5</v>
      </c>
      <c r="AH64" s="456">
        <f t="shared" si="19"/>
        <v>4766.5099999999993</v>
      </c>
      <c r="AJ64" s="466">
        <v>19.87</v>
      </c>
      <c r="AK64" s="467">
        <v>20.86</v>
      </c>
      <c r="AM64" s="264">
        <f t="shared" si="11"/>
        <v>218</v>
      </c>
      <c r="AN64" s="264">
        <f t="shared" si="12"/>
        <v>0</v>
      </c>
      <c r="AO64" s="264">
        <f t="shared" si="14"/>
        <v>218</v>
      </c>
      <c r="AP64" s="264">
        <v>2080</v>
      </c>
    </row>
    <row r="65" spans="1:42" ht="17.45" customHeight="1" x14ac:dyDescent="0.4">
      <c r="A65" s="453" t="s">
        <v>302</v>
      </c>
      <c r="B65" s="453">
        <v>171</v>
      </c>
      <c r="C65" s="454" t="s">
        <v>613</v>
      </c>
      <c r="D65" s="454" t="s">
        <v>611</v>
      </c>
      <c r="E65" s="453" t="s">
        <v>293</v>
      </c>
      <c r="F65" s="464">
        <v>24.82</v>
      </c>
      <c r="G65" s="464" t="s">
        <v>151</v>
      </c>
      <c r="H65" s="465">
        <v>208</v>
      </c>
      <c r="I65" s="456">
        <f t="shared" si="5"/>
        <v>5162.5600000000004</v>
      </c>
      <c r="J65" s="465">
        <v>8</v>
      </c>
      <c r="K65" s="456">
        <f t="shared" si="6"/>
        <v>297.83999999999997</v>
      </c>
      <c r="L65" s="465">
        <f t="shared" si="15"/>
        <v>216</v>
      </c>
      <c r="M65" s="456">
        <f t="shared" si="15"/>
        <v>5460.4000000000005</v>
      </c>
      <c r="O65" s="465">
        <v>0</v>
      </c>
      <c r="P65" s="456">
        <f t="shared" si="7"/>
        <v>0</v>
      </c>
      <c r="Q65" s="465">
        <v>0</v>
      </c>
      <c r="R65" s="456">
        <f t="shared" si="8"/>
        <v>0</v>
      </c>
      <c r="S65" s="465">
        <f t="shared" si="16"/>
        <v>0</v>
      </c>
      <c r="T65" s="456">
        <f t="shared" si="16"/>
        <v>0</v>
      </c>
      <c r="U65" s="456"/>
      <c r="V65" s="465">
        <v>0</v>
      </c>
      <c r="W65" s="456">
        <f t="shared" si="9"/>
        <v>0</v>
      </c>
      <c r="X65" s="465">
        <v>0</v>
      </c>
      <c r="Y65" s="456">
        <f t="shared" si="10"/>
        <v>0</v>
      </c>
      <c r="Z65" s="465">
        <f t="shared" si="17"/>
        <v>0</v>
      </c>
      <c r="AA65" s="456">
        <f t="shared" si="17"/>
        <v>0</v>
      </c>
      <c r="AB65" s="456"/>
      <c r="AC65" s="465">
        <f t="shared" si="18"/>
        <v>208</v>
      </c>
      <c r="AD65" s="456">
        <f t="shared" si="18"/>
        <v>5162.5600000000004</v>
      </c>
      <c r="AE65" s="465">
        <f t="shared" si="18"/>
        <v>8</v>
      </c>
      <c r="AF65" s="456">
        <f t="shared" si="18"/>
        <v>297.83999999999997</v>
      </c>
      <c r="AG65" s="465">
        <f t="shared" si="19"/>
        <v>216</v>
      </c>
      <c r="AH65" s="456">
        <f t="shared" si="19"/>
        <v>5460.4000000000005</v>
      </c>
      <c r="AJ65" s="466">
        <v>23.64</v>
      </c>
      <c r="AK65" s="467">
        <v>24.82</v>
      </c>
      <c r="AM65" s="264">
        <f t="shared" si="11"/>
        <v>208</v>
      </c>
      <c r="AN65" s="264">
        <f t="shared" si="12"/>
        <v>8</v>
      </c>
      <c r="AO65" s="264">
        <f t="shared" si="14"/>
        <v>216</v>
      </c>
      <c r="AP65" s="264">
        <v>2080</v>
      </c>
    </row>
    <row r="66" spans="1:42" ht="17.45" customHeight="1" x14ac:dyDescent="0.4">
      <c r="A66" s="453" t="s">
        <v>302</v>
      </c>
      <c r="B66" s="453">
        <v>209</v>
      </c>
      <c r="C66" s="454" t="s">
        <v>306</v>
      </c>
      <c r="D66" s="454" t="s">
        <v>543</v>
      </c>
      <c r="E66" s="453" t="s">
        <v>293</v>
      </c>
      <c r="F66" s="464">
        <v>22.22</v>
      </c>
      <c r="G66" s="464" t="s">
        <v>151</v>
      </c>
      <c r="H66" s="465">
        <v>477</v>
      </c>
      <c r="I66" s="456">
        <f t="shared" si="5"/>
        <v>10598.94</v>
      </c>
      <c r="J66" s="465">
        <v>4.5</v>
      </c>
      <c r="K66" s="456">
        <f t="shared" si="6"/>
        <v>149.99</v>
      </c>
      <c r="L66" s="465">
        <f t="shared" si="15"/>
        <v>481.5</v>
      </c>
      <c r="M66" s="456">
        <f t="shared" si="15"/>
        <v>10748.93</v>
      </c>
      <c r="O66" s="465">
        <v>13</v>
      </c>
      <c r="P66" s="456">
        <f t="shared" si="7"/>
        <v>288.86</v>
      </c>
      <c r="Q66" s="465">
        <v>0</v>
      </c>
      <c r="R66" s="456">
        <f t="shared" si="8"/>
        <v>0</v>
      </c>
      <c r="S66" s="465">
        <f t="shared" si="16"/>
        <v>13</v>
      </c>
      <c r="T66" s="456">
        <f t="shared" si="16"/>
        <v>288.86</v>
      </c>
      <c r="U66" s="456"/>
      <c r="V66" s="465">
        <v>0</v>
      </c>
      <c r="W66" s="456">
        <f t="shared" si="9"/>
        <v>0</v>
      </c>
      <c r="X66" s="465">
        <v>0</v>
      </c>
      <c r="Y66" s="456">
        <f t="shared" si="10"/>
        <v>0</v>
      </c>
      <c r="Z66" s="465">
        <f t="shared" si="17"/>
        <v>0</v>
      </c>
      <c r="AA66" s="456">
        <f t="shared" si="17"/>
        <v>0</v>
      </c>
      <c r="AB66" s="456"/>
      <c r="AC66" s="465">
        <f t="shared" si="18"/>
        <v>490</v>
      </c>
      <c r="AD66" s="456">
        <f t="shared" si="18"/>
        <v>10887.800000000001</v>
      </c>
      <c r="AE66" s="465">
        <f t="shared" si="18"/>
        <v>4.5</v>
      </c>
      <c r="AF66" s="456">
        <f t="shared" si="18"/>
        <v>149.99</v>
      </c>
      <c r="AG66" s="465">
        <f t="shared" si="19"/>
        <v>494.5</v>
      </c>
      <c r="AH66" s="456">
        <f t="shared" si="19"/>
        <v>11037.79</v>
      </c>
      <c r="AJ66" s="466">
        <v>21.16</v>
      </c>
      <c r="AK66" s="467">
        <v>22.22</v>
      </c>
      <c r="AM66" s="264">
        <f t="shared" si="11"/>
        <v>477</v>
      </c>
      <c r="AN66" s="264">
        <f t="shared" si="12"/>
        <v>4.5</v>
      </c>
      <c r="AO66" s="264">
        <f t="shared" si="14"/>
        <v>481.5</v>
      </c>
      <c r="AP66" s="264">
        <v>2080</v>
      </c>
    </row>
    <row r="67" spans="1:42" ht="17.45" customHeight="1" x14ac:dyDescent="0.4">
      <c r="A67" s="453" t="s">
        <v>296</v>
      </c>
      <c r="B67" s="453">
        <v>211</v>
      </c>
      <c r="C67" s="454" t="s">
        <v>301</v>
      </c>
      <c r="D67" s="454" t="s">
        <v>614</v>
      </c>
      <c r="E67" s="453" t="s">
        <v>293</v>
      </c>
      <c r="F67" s="464">
        <v>20.77</v>
      </c>
      <c r="G67" s="464" t="s">
        <v>151</v>
      </c>
      <c r="H67" s="465">
        <v>168</v>
      </c>
      <c r="I67" s="456">
        <f t="shared" si="5"/>
        <v>3489.36</v>
      </c>
      <c r="J67" s="465">
        <v>9.5</v>
      </c>
      <c r="K67" s="456">
        <f t="shared" si="6"/>
        <v>295.97000000000003</v>
      </c>
      <c r="L67" s="465">
        <f t="shared" si="15"/>
        <v>177.5</v>
      </c>
      <c r="M67" s="456">
        <f t="shared" si="15"/>
        <v>3785.33</v>
      </c>
      <c r="O67" s="465">
        <v>0</v>
      </c>
      <c r="P67" s="456">
        <f t="shared" si="7"/>
        <v>0</v>
      </c>
      <c r="Q67" s="465">
        <v>0</v>
      </c>
      <c r="R67" s="456">
        <f t="shared" si="8"/>
        <v>0</v>
      </c>
      <c r="S67" s="465">
        <f t="shared" si="16"/>
        <v>0</v>
      </c>
      <c r="T67" s="456">
        <f t="shared" si="16"/>
        <v>0</v>
      </c>
      <c r="U67" s="456"/>
      <c r="V67" s="465">
        <v>0</v>
      </c>
      <c r="W67" s="456">
        <f t="shared" si="9"/>
        <v>0</v>
      </c>
      <c r="X67" s="465">
        <v>0</v>
      </c>
      <c r="Y67" s="456">
        <f t="shared" si="10"/>
        <v>0</v>
      </c>
      <c r="Z67" s="465">
        <f t="shared" si="17"/>
        <v>0</v>
      </c>
      <c r="AA67" s="456">
        <f t="shared" si="17"/>
        <v>0</v>
      </c>
      <c r="AB67" s="456"/>
      <c r="AC67" s="465">
        <f t="shared" si="18"/>
        <v>168</v>
      </c>
      <c r="AD67" s="456">
        <f t="shared" si="18"/>
        <v>3489.36</v>
      </c>
      <c r="AE67" s="465">
        <f t="shared" si="18"/>
        <v>9.5</v>
      </c>
      <c r="AF67" s="456">
        <f t="shared" si="18"/>
        <v>295.97000000000003</v>
      </c>
      <c r="AG67" s="465">
        <f t="shared" si="19"/>
        <v>177.5</v>
      </c>
      <c r="AH67" s="456">
        <f t="shared" si="19"/>
        <v>3785.33</v>
      </c>
      <c r="AJ67" s="466">
        <v>19.78</v>
      </c>
      <c r="AK67" s="467">
        <v>20.77</v>
      </c>
      <c r="AM67" s="264">
        <f t="shared" si="11"/>
        <v>168</v>
      </c>
      <c r="AN67" s="264">
        <f t="shared" si="12"/>
        <v>9.5</v>
      </c>
      <c r="AO67" s="264">
        <f t="shared" si="14"/>
        <v>177.5</v>
      </c>
      <c r="AP67" s="264">
        <v>2080</v>
      </c>
    </row>
    <row r="68" spans="1:42" ht="17.45" customHeight="1" x14ac:dyDescent="0.4">
      <c r="A68" s="453" t="s">
        <v>302</v>
      </c>
      <c r="B68" s="453">
        <v>205</v>
      </c>
      <c r="C68" s="454" t="s">
        <v>301</v>
      </c>
      <c r="D68" s="454" t="s">
        <v>615</v>
      </c>
      <c r="E68" s="453" t="s">
        <v>293</v>
      </c>
      <c r="F68" s="464">
        <v>20.65</v>
      </c>
      <c r="G68" s="464" t="s">
        <v>151</v>
      </c>
      <c r="H68" s="465">
        <v>401.5</v>
      </c>
      <c r="I68" s="456">
        <f t="shared" si="5"/>
        <v>8290.98</v>
      </c>
      <c r="J68" s="465">
        <v>7</v>
      </c>
      <c r="K68" s="456">
        <f t="shared" si="6"/>
        <v>216.83</v>
      </c>
      <c r="L68" s="465">
        <f t="shared" si="15"/>
        <v>408.5</v>
      </c>
      <c r="M68" s="456">
        <f t="shared" si="15"/>
        <v>8507.81</v>
      </c>
      <c r="O68" s="465">
        <v>0</v>
      </c>
      <c r="P68" s="456">
        <f t="shared" si="7"/>
        <v>0</v>
      </c>
      <c r="Q68" s="465">
        <v>0</v>
      </c>
      <c r="R68" s="456">
        <f t="shared" si="8"/>
        <v>0</v>
      </c>
      <c r="S68" s="465">
        <f t="shared" si="16"/>
        <v>0</v>
      </c>
      <c r="T68" s="456">
        <f t="shared" si="16"/>
        <v>0</v>
      </c>
      <c r="U68" s="456"/>
      <c r="V68" s="465">
        <v>0</v>
      </c>
      <c r="W68" s="456">
        <f t="shared" si="9"/>
        <v>0</v>
      </c>
      <c r="X68" s="465">
        <v>0</v>
      </c>
      <c r="Y68" s="456">
        <f t="shared" si="10"/>
        <v>0</v>
      </c>
      <c r="Z68" s="465">
        <f t="shared" si="17"/>
        <v>0</v>
      </c>
      <c r="AA68" s="456">
        <f t="shared" si="17"/>
        <v>0</v>
      </c>
      <c r="AB68" s="456"/>
      <c r="AC68" s="465">
        <f t="shared" si="18"/>
        <v>401.5</v>
      </c>
      <c r="AD68" s="456">
        <f t="shared" si="18"/>
        <v>8290.98</v>
      </c>
      <c r="AE68" s="465">
        <f t="shared" si="18"/>
        <v>7</v>
      </c>
      <c r="AF68" s="456">
        <f t="shared" si="18"/>
        <v>216.83</v>
      </c>
      <c r="AG68" s="465">
        <f t="shared" si="19"/>
        <v>408.5</v>
      </c>
      <c r="AH68" s="456">
        <f t="shared" si="19"/>
        <v>8507.81</v>
      </c>
      <c r="AJ68" s="466">
        <v>19.670000000000002</v>
      </c>
      <c r="AK68" s="467">
        <v>20.65</v>
      </c>
      <c r="AM68" s="264">
        <f t="shared" si="11"/>
        <v>401.5</v>
      </c>
      <c r="AN68" s="264">
        <f t="shared" si="12"/>
        <v>7</v>
      </c>
      <c r="AO68" s="264">
        <f t="shared" si="14"/>
        <v>408.5</v>
      </c>
      <c r="AP68" s="264">
        <v>2080</v>
      </c>
    </row>
    <row r="69" spans="1:42" ht="17.45" customHeight="1" x14ac:dyDescent="0.4">
      <c r="A69" s="453" t="s">
        <v>323</v>
      </c>
      <c r="B69" s="453">
        <v>50</v>
      </c>
      <c r="C69" s="454" t="s">
        <v>616</v>
      </c>
      <c r="D69" s="454" t="s">
        <v>617</v>
      </c>
      <c r="E69" s="453" t="s">
        <v>293</v>
      </c>
      <c r="F69" s="464">
        <v>38.92</v>
      </c>
      <c r="G69" s="464" t="s">
        <v>151</v>
      </c>
      <c r="H69" s="465">
        <v>1744</v>
      </c>
      <c r="I69" s="456">
        <f t="shared" si="5"/>
        <v>67876.479999999996</v>
      </c>
      <c r="J69" s="465">
        <v>185.5</v>
      </c>
      <c r="K69" s="456">
        <f t="shared" si="6"/>
        <v>10829.49</v>
      </c>
      <c r="L69" s="465">
        <f t="shared" si="15"/>
        <v>1929.5</v>
      </c>
      <c r="M69" s="456">
        <f t="shared" si="15"/>
        <v>78705.97</v>
      </c>
      <c r="O69" s="465">
        <v>4.5</v>
      </c>
      <c r="P69" s="456">
        <f t="shared" si="7"/>
        <v>175.14</v>
      </c>
      <c r="Q69" s="465">
        <v>0</v>
      </c>
      <c r="R69" s="456">
        <f t="shared" si="8"/>
        <v>0</v>
      </c>
      <c r="S69" s="465">
        <f t="shared" si="16"/>
        <v>4.5</v>
      </c>
      <c r="T69" s="456">
        <f t="shared" si="16"/>
        <v>175.14</v>
      </c>
      <c r="U69" s="456"/>
      <c r="V69" s="465">
        <v>28.5</v>
      </c>
      <c r="W69" s="456">
        <f t="shared" si="9"/>
        <v>1109.22</v>
      </c>
      <c r="X69" s="465">
        <v>0</v>
      </c>
      <c r="Y69" s="456">
        <f t="shared" si="10"/>
        <v>0</v>
      </c>
      <c r="Z69" s="465">
        <f t="shared" si="17"/>
        <v>28.5</v>
      </c>
      <c r="AA69" s="456">
        <f t="shared" si="17"/>
        <v>1109.22</v>
      </c>
      <c r="AB69" s="456"/>
      <c r="AC69" s="465">
        <f t="shared" si="18"/>
        <v>1777</v>
      </c>
      <c r="AD69" s="456">
        <f t="shared" si="18"/>
        <v>69160.84</v>
      </c>
      <c r="AE69" s="465">
        <f t="shared" si="18"/>
        <v>185.5</v>
      </c>
      <c r="AF69" s="456">
        <f t="shared" si="18"/>
        <v>10829.49</v>
      </c>
      <c r="AG69" s="465">
        <f t="shared" si="19"/>
        <v>1962.5</v>
      </c>
      <c r="AH69" s="456">
        <f t="shared" si="19"/>
        <v>79990.33</v>
      </c>
      <c r="AJ69" s="466">
        <v>37.07</v>
      </c>
      <c r="AK69" s="467">
        <v>38.92</v>
      </c>
      <c r="AM69" s="264">
        <f t="shared" si="11"/>
        <v>1744</v>
      </c>
      <c r="AN69" s="264">
        <f t="shared" si="12"/>
        <v>185.5</v>
      </c>
      <c r="AO69" s="264">
        <f t="shared" si="14"/>
        <v>1929.5</v>
      </c>
      <c r="AP69" s="264">
        <v>2080</v>
      </c>
    </row>
    <row r="70" spans="1:42" ht="17.45" customHeight="1" x14ac:dyDescent="0.4">
      <c r="A70" s="453" t="s">
        <v>323</v>
      </c>
      <c r="B70" s="453">
        <v>182</v>
      </c>
      <c r="C70" s="455" t="s">
        <v>618</v>
      </c>
      <c r="D70" s="454" t="s">
        <v>619</v>
      </c>
      <c r="E70" s="453" t="s">
        <v>293</v>
      </c>
      <c r="F70" s="464">
        <v>25.43</v>
      </c>
      <c r="G70" s="464" t="s">
        <v>151</v>
      </c>
      <c r="H70" s="465">
        <v>1792.5</v>
      </c>
      <c r="I70" s="456">
        <f t="shared" si="5"/>
        <v>45583.28</v>
      </c>
      <c r="J70" s="465">
        <v>182</v>
      </c>
      <c r="K70" s="456">
        <f t="shared" si="6"/>
        <v>6942.39</v>
      </c>
      <c r="L70" s="465">
        <f t="shared" si="15"/>
        <v>1974.5</v>
      </c>
      <c r="M70" s="456">
        <f t="shared" si="15"/>
        <v>52525.67</v>
      </c>
      <c r="O70" s="465">
        <v>0</v>
      </c>
      <c r="P70" s="456">
        <f t="shared" si="7"/>
        <v>0</v>
      </c>
      <c r="Q70" s="465">
        <v>0</v>
      </c>
      <c r="R70" s="456">
        <f t="shared" si="8"/>
        <v>0</v>
      </c>
      <c r="S70" s="465">
        <f t="shared" si="16"/>
        <v>0</v>
      </c>
      <c r="T70" s="456">
        <f t="shared" si="16"/>
        <v>0</v>
      </c>
      <c r="U70" s="456"/>
      <c r="V70" s="465">
        <v>10.5</v>
      </c>
      <c r="W70" s="456">
        <f t="shared" si="9"/>
        <v>267.02</v>
      </c>
      <c r="X70" s="465">
        <v>0</v>
      </c>
      <c r="Y70" s="456">
        <f t="shared" si="10"/>
        <v>0</v>
      </c>
      <c r="Z70" s="465">
        <f t="shared" si="17"/>
        <v>10.5</v>
      </c>
      <c r="AA70" s="456">
        <f t="shared" si="17"/>
        <v>267.02</v>
      </c>
      <c r="AB70" s="456"/>
      <c r="AC70" s="465">
        <f t="shared" si="18"/>
        <v>1803</v>
      </c>
      <c r="AD70" s="456">
        <f t="shared" si="18"/>
        <v>45850.299999999996</v>
      </c>
      <c r="AE70" s="465">
        <f t="shared" si="18"/>
        <v>182</v>
      </c>
      <c r="AF70" s="456">
        <f t="shared" si="18"/>
        <v>6942.39</v>
      </c>
      <c r="AG70" s="465">
        <f t="shared" si="19"/>
        <v>1985</v>
      </c>
      <c r="AH70" s="456">
        <f t="shared" si="19"/>
        <v>52792.689999999995</v>
      </c>
      <c r="AJ70" s="466">
        <v>24.22</v>
      </c>
      <c r="AK70" s="467">
        <v>25.43</v>
      </c>
      <c r="AM70" s="264">
        <f t="shared" si="11"/>
        <v>1792.5</v>
      </c>
      <c r="AN70" s="264">
        <f t="shared" si="12"/>
        <v>182</v>
      </c>
      <c r="AO70" s="264">
        <f t="shared" si="14"/>
        <v>1974.5</v>
      </c>
      <c r="AP70" s="264">
        <v>2080</v>
      </c>
    </row>
    <row r="71" spans="1:42" ht="17.45" customHeight="1" x14ac:dyDescent="0.4">
      <c r="A71" s="453" t="s">
        <v>323</v>
      </c>
      <c r="B71" s="453">
        <v>166</v>
      </c>
      <c r="C71" s="455" t="s">
        <v>618</v>
      </c>
      <c r="D71" s="454" t="s">
        <v>620</v>
      </c>
      <c r="E71" s="453" t="s">
        <v>293</v>
      </c>
      <c r="F71" s="464">
        <v>28.95</v>
      </c>
      <c r="G71" s="464" t="s">
        <v>151</v>
      </c>
      <c r="H71" s="465">
        <v>1790.5</v>
      </c>
      <c r="I71" s="456">
        <f t="shared" si="5"/>
        <v>51834.98</v>
      </c>
      <c r="J71" s="465">
        <v>178.5</v>
      </c>
      <c r="K71" s="456">
        <f t="shared" si="6"/>
        <v>7751.36</v>
      </c>
      <c r="L71" s="465">
        <f t="shared" si="15"/>
        <v>1969</v>
      </c>
      <c r="M71" s="456">
        <f t="shared" si="15"/>
        <v>59586.340000000004</v>
      </c>
      <c r="O71" s="465">
        <v>0</v>
      </c>
      <c r="P71" s="456">
        <f t="shared" si="7"/>
        <v>0</v>
      </c>
      <c r="Q71" s="465">
        <v>0</v>
      </c>
      <c r="R71" s="456">
        <f t="shared" si="8"/>
        <v>0</v>
      </c>
      <c r="S71" s="465">
        <f t="shared" si="16"/>
        <v>0</v>
      </c>
      <c r="T71" s="456">
        <f t="shared" si="16"/>
        <v>0</v>
      </c>
      <c r="U71" s="456"/>
      <c r="V71" s="465">
        <v>10.5</v>
      </c>
      <c r="W71" s="456">
        <f t="shared" si="9"/>
        <v>303.98</v>
      </c>
      <c r="X71" s="465">
        <v>2.5</v>
      </c>
      <c r="Y71" s="456">
        <f t="shared" si="10"/>
        <v>108.56</v>
      </c>
      <c r="Z71" s="465">
        <f t="shared" si="17"/>
        <v>13</v>
      </c>
      <c r="AA71" s="456">
        <f t="shared" si="17"/>
        <v>412.54</v>
      </c>
      <c r="AB71" s="456"/>
      <c r="AC71" s="465">
        <f t="shared" si="18"/>
        <v>1801</v>
      </c>
      <c r="AD71" s="456">
        <f t="shared" si="18"/>
        <v>52138.960000000006</v>
      </c>
      <c r="AE71" s="465">
        <f t="shared" si="18"/>
        <v>181</v>
      </c>
      <c r="AF71" s="456">
        <f t="shared" si="18"/>
        <v>7859.92</v>
      </c>
      <c r="AG71" s="465">
        <f t="shared" si="19"/>
        <v>1982</v>
      </c>
      <c r="AH71" s="456">
        <f t="shared" si="19"/>
        <v>59998.880000000005</v>
      </c>
      <c r="AJ71" s="466">
        <v>27.57</v>
      </c>
      <c r="AK71" s="467">
        <v>28.95</v>
      </c>
      <c r="AM71" s="264">
        <f t="shared" si="11"/>
        <v>1790.5</v>
      </c>
      <c r="AN71" s="264">
        <f t="shared" si="12"/>
        <v>178.5</v>
      </c>
      <c r="AO71" s="264">
        <f t="shared" si="14"/>
        <v>1969</v>
      </c>
      <c r="AP71" s="264">
        <v>2080</v>
      </c>
    </row>
    <row r="72" spans="1:42" ht="17.45" customHeight="1" x14ac:dyDescent="0.4">
      <c r="A72" s="454" t="s">
        <v>621</v>
      </c>
      <c r="B72" s="468"/>
      <c r="C72" s="468"/>
      <c r="E72" s="468"/>
      <c r="F72" s="468"/>
      <c r="G72" s="468"/>
      <c r="H72" s="469">
        <v>0</v>
      </c>
      <c r="I72" s="470">
        <v>-256.57</v>
      </c>
      <c r="J72" s="469">
        <v>0</v>
      </c>
      <c r="K72" s="470">
        <v>0</v>
      </c>
      <c r="L72" s="469">
        <f>+H72+J72</f>
        <v>0</v>
      </c>
      <c r="M72" s="470">
        <v>-256.57</v>
      </c>
      <c r="O72" s="469">
        <v>0</v>
      </c>
      <c r="P72" s="470">
        <v>332.88</v>
      </c>
      <c r="Q72" s="469">
        <v>0</v>
      </c>
      <c r="R72" s="470">
        <v>0</v>
      </c>
      <c r="S72" s="469">
        <f>+O72+Q72</f>
        <v>0</v>
      </c>
      <c r="T72" s="470">
        <v>332.88</v>
      </c>
      <c r="U72" s="456"/>
      <c r="V72" s="469">
        <v>0</v>
      </c>
      <c r="W72" s="470">
        <v>0</v>
      </c>
      <c r="X72" s="469">
        <v>0</v>
      </c>
      <c r="Y72" s="470">
        <v>0</v>
      </c>
      <c r="Z72" s="469">
        <f t="shared" ref="Z72:AA72" si="20">+V72+X72</f>
        <v>0</v>
      </c>
      <c r="AA72" s="470">
        <f t="shared" si="20"/>
        <v>0</v>
      </c>
      <c r="AB72" s="456"/>
      <c r="AC72" s="469">
        <f t="shared" ref="AC72:AF72" si="21">+H72+O72+V72</f>
        <v>0</v>
      </c>
      <c r="AD72" s="470">
        <f t="shared" si="21"/>
        <v>76.31</v>
      </c>
      <c r="AE72" s="469">
        <f t="shared" si="21"/>
        <v>0</v>
      </c>
      <c r="AF72" s="470">
        <f t="shared" si="21"/>
        <v>0</v>
      </c>
      <c r="AG72" s="469">
        <f t="shared" ref="AG72:AH72" si="22">+AC72+AE72</f>
        <v>0</v>
      </c>
      <c r="AH72" s="470">
        <f t="shared" si="22"/>
        <v>76.31</v>
      </c>
    </row>
    <row r="73" spans="1:42" ht="17.45" customHeight="1" x14ac:dyDescent="0.4">
      <c r="A73" s="454" t="s">
        <v>326</v>
      </c>
      <c r="C73" s="471"/>
      <c r="D73" s="471"/>
      <c r="E73" s="471"/>
      <c r="F73" s="471"/>
      <c r="G73" s="471"/>
      <c r="H73" s="465">
        <f t="shared" ref="H73:M73" si="23">SUM(H7:H72)</f>
        <v>14148.69454</v>
      </c>
      <c r="I73" s="472">
        <f t="shared" si="23"/>
        <v>422478.09</v>
      </c>
      <c r="J73" s="465">
        <f t="shared" si="23"/>
        <v>1217.20613</v>
      </c>
      <c r="K73" s="472">
        <f t="shared" si="23"/>
        <v>55153.650000000009</v>
      </c>
      <c r="L73" s="465">
        <f t="shared" si="23"/>
        <v>15365.900670000001</v>
      </c>
      <c r="M73" s="472">
        <f t="shared" si="23"/>
        <v>477631.74000000005</v>
      </c>
      <c r="N73" s="455"/>
      <c r="O73" s="465">
        <f t="shared" ref="O73:T73" si="24">SUM(O7:O72)</f>
        <v>3544.3914599999994</v>
      </c>
      <c r="P73" s="472">
        <f t="shared" si="24"/>
        <v>129831.43999999999</v>
      </c>
      <c r="Q73" s="465">
        <f t="shared" si="24"/>
        <v>188.60087000000001</v>
      </c>
      <c r="R73" s="472">
        <f t="shared" si="24"/>
        <v>8455.06</v>
      </c>
      <c r="S73" s="465">
        <f t="shared" si="24"/>
        <v>3732.9923299999996</v>
      </c>
      <c r="T73" s="472">
        <f t="shared" si="24"/>
        <v>138286.49999999997</v>
      </c>
      <c r="V73" s="465">
        <f t="shared" ref="V73:AA73" si="25">SUM(V7:V72)</f>
        <v>58</v>
      </c>
      <c r="W73" s="472">
        <f t="shared" si="25"/>
        <v>1929.42</v>
      </c>
      <c r="X73" s="465">
        <f t="shared" si="25"/>
        <v>2.5</v>
      </c>
      <c r="Y73" s="472">
        <f t="shared" si="25"/>
        <v>108.56</v>
      </c>
      <c r="Z73" s="465">
        <f t="shared" si="25"/>
        <v>60.5</v>
      </c>
      <c r="AA73" s="472">
        <f t="shared" si="25"/>
        <v>2037.98</v>
      </c>
      <c r="AC73" s="465">
        <f t="shared" ref="AC73:AH73" si="26">SUM(AC7:AC72)</f>
        <v>17751.086000000003</v>
      </c>
      <c r="AD73" s="472">
        <f t="shared" si="26"/>
        <v>554238.94999999995</v>
      </c>
      <c r="AE73" s="465">
        <f t="shared" si="26"/>
        <v>1408.3069999999998</v>
      </c>
      <c r="AF73" s="472">
        <f t="shared" si="26"/>
        <v>63717.26999999999</v>
      </c>
      <c r="AG73" s="465">
        <f t="shared" si="26"/>
        <v>19159.393000000004</v>
      </c>
      <c r="AH73" s="472">
        <f t="shared" si="26"/>
        <v>617956.22</v>
      </c>
      <c r="AM73" s="504">
        <f t="shared" ref="AM73:AP73" si="27">SUM(AM7:AM72)</f>
        <v>14148.69454</v>
      </c>
      <c r="AN73" s="504">
        <f t="shared" si="27"/>
        <v>1217.20613</v>
      </c>
      <c r="AO73" s="504">
        <f t="shared" si="27"/>
        <v>15365.900670000001</v>
      </c>
      <c r="AP73" s="504">
        <f t="shared" si="27"/>
        <v>135200</v>
      </c>
    </row>
    <row r="74" spans="1:42" ht="17.45" customHeight="1" x14ac:dyDescent="0.4">
      <c r="A74" s="454"/>
      <c r="C74" s="471"/>
      <c r="D74" s="471"/>
      <c r="E74" s="471"/>
      <c r="F74" s="471"/>
      <c r="G74" s="471"/>
      <c r="H74" s="465"/>
      <c r="I74" s="472"/>
      <c r="J74" s="465"/>
      <c r="K74" s="472"/>
      <c r="L74" s="465"/>
      <c r="N74" s="455"/>
      <c r="O74" s="465"/>
      <c r="P74" s="472"/>
      <c r="Q74" s="465"/>
      <c r="R74" s="472"/>
      <c r="S74" s="465"/>
      <c r="T74" s="456"/>
      <c r="V74" s="465"/>
      <c r="W74" s="472"/>
      <c r="X74" s="465"/>
      <c r="Y74" s="472"/>
      <c r="Z74" s="465"/>
      <c r="AA74" s="456"/>
      <c r="AC74" s="465"/>
      <c r="AD74" s="472"/>
      <c r="AE74" s="465"/>
      <c r="AF74" s="472"/>
      <c r="AG74" s="465"/>
      <c r="AH74" s="456"/>
    </row>
    <row r="75" spans="1:42" ht="17.45" customHeight="1" x14ac:dyDescent="0.4">
      <c r="A75" s="461" t="s">
        <v>622</v>
      </c>
      <c r="H75" s="465"/>
      <c r="J75" s="465"/>
      <c r="L75" s="465"/>
      <c r="O75" s="465"/>
      <c r="Q75" s="465"/>
      <c r="S75" s="473"/>
      <c r="T75" s="456"/>
      <c r="V75" s="473"/>
      <c r="X75" s="473"/>
      <c r="Z75" s="473"/>
      <c r="AA75" s="456"/>
      <c r="AC75" s="473"/>
      <c r="AE75" s="473"/>
      <c r="AG75" s="473"/>
      <c r="AH75" s="456"/>
    </row>
    <row r="76" spans="1:42" ht="17.45" customHeight="1" x14ac:dyDescent="0.4">
      <c r="A76" s="463" t="s">
        <v>282</v>
      </c>
      <c r="B76" s="463" t="s">
        <v>283</v>
      </c>
      <c r="C76" s="474" t="s">
        <v>623</v>
      </c>
      <c r="E76" s="463" t="s">
        <v>624</v>
      </c>
      <c r="H76" s="465"/>
      <c r="J76" s="465"/>
      <c r="L76" s="465"/>
      <c r="O76" s="465"/>
      <c r="Q76" s="465"/>
      <c r="S76" s="473"/>
      <c r="T76" s="456"/>
      <c r="V76" s="473"/>
      <c r="X76" s="473"/>
      <c r="Z76" s="473"/>
      <c r="AA76" s="456"/>
      <c r="AC76" s="473"/>
      <c r="AE76" s="473"/>
      <c r="AG76" s="473"/>
      <c r="AH76" s="456"/>
    </row>
    <row r="77" spans="1:42" ht="17.45" customHeight="1" x14ac:dyDescent="0.4">
      <c r="A77" s="453" t="s">
        <v>313</v>
      </c>
      <c r="B77" s="453">
        <v>225</v>
      </c>
      <c r="C77" s="455" t="s">
        <v>327</v>
      </c>
      <c r="E77" s="475">
        <v>44995</v>
      </c>
      <c r="F77" s="464">
        <v>34.4</v>
      </c>
      <c r="G77" s="464" t="s">
        <v>151</v>
      </c>
      <c r="H77" s="476">
        <f>+I77/F77</f>
        <v>97.996800000000007</v>
      </c>
      <c r="I77" s="456">
        <v>3371.0899199999999</v>
      </c>
      <c r="J77" s="465">
        <v>0</v>
      </c>
      <c r="K77" s="456">
        <v>0</v>
      </c>
      <c r="L77" s="465">
        <f>+H77+J77</f>
        <v>97.996800000000007</v>
      </c>
      <c r="M77" s="456">
        <f>+I77+K77</f>
        <v>3371.0899199999999</v>
      </c>
      <c r="O77" s="465"/>
      <c r="Q77" s="465"/>
      <c r="S77" s="473"/>
      <c r="T77" s="456"/>
      <c r="V77" s="473"/>
      <c r="X77" s="473"/>
      <c r="Z77" s="473"/>
      <c r="AA77" s="456"/>
      <c r="AC77" s="473"/>
      <c r="AE77" s="473"/>
      <c r="AG77" s="473"/>
      <c r="AH77" s="456"/>
      <c r="AJ77" s="267">
        <v>2620.73</v>
      </c>
      <c r="AK77" s="267">
        <v>2751.77</v>
      </c>
      <c r="AM77" s="264">
        <f t="shared" ref="AM77:AM80" si="28">H77</f>
        <v>97.996800000000007</v>
      </c>
      <c r="AN77" s="264">
        <f t="shared" ref="AN77:AN80" si="29">J77</f>
        <v>0</v>
      </c>
      <c r="AO77" s="264">
        <f t="shared" ref="AO77:AO80" si="30">SUM(AM77:AN77)</f>
        <v>97.996800000000007</v>
      </c>
      <c r="AP77" s="264">
        <v>2080</v>
      </c>
    </row>
    <row r="78" spans="1:42" ht="17.45" customHeight="1" x14ac:dyDescent="0.4">
      <c r="A78" s="453" t="s">
        <v>292</v>
      </c>
      <c r="B78" s="453">
        <v>210</v>
      </c>
      <c r="C78" s="455" t="s">
        <v>332</v>
      </c>
      <c r="E78" s="475">
        <v>45061</v>
      </c>
      <c r="F78" s="464">
        <v>23.31</v>
      </c>
      <c r="G78" s="464" t="s">
        <v>151</v>
      </c>
      <c r="H78" s="476">
        <f>+I78/F78</f>
        <v>168.19199999999998</v>
      </c>
      <c r="I78" s="456">
        <v>3920.5555199999994</v>
      </c>
      <c r="J78" s="465">
        <v>0</v>
      </c>
      <c r="K78" s="456">
        <v>0</v>
      </c>
      <c r="L78" s="465">
        <f t="shared" ref="L78:M80" si="31">+H78+J78</f>
        <v>168.19199999999998</v>
      </c>
      <c r="M78" s="456">
        <f t="shared" si="31"/>
        <v>3920.5555199999994</v>
      </c>
      <c r="O78" s="465"/>
      <c r="Q78" s="465"/>
      <c r="S78" s="473"/>
      <c r="T78" s="456"/>
      <c r="V78" s="473"/>
      <c r="X78" s="473"/>
      <c r="Z78" s="473"/>
      <c r="AA78" s="456"/>
      <c r="AC78" s="473"/>
      <c r="AE78" s="473"/>
      <c r="AG78" s="473"/>
      <c r="AH78" s="456"/>
      <c r="AJ78" s="466">
        <v>22.2</v>
      </c>
      <c r="AK78" s="466">
        <v>23.31</v>
      </c>
      <c r="AM78" s="264">
        <f t="shared" si="28"/>
        <v>168.19199999999998</v>
      </c>
      <c r="AN78" s="264">
        <f t="shared" si="29"/>
        <v>0</v>
      </c>
      <c r="AO78" s="264">
        <f t="shared" si="30"/>
        <v>168.19199999999998</v>
      </c>
      <c r="AP78" s="264">
        <v>2081</v>
      </c>
    </row>
    <row r="79" spans="1:42" ht="17.45" customHeight="1" x14ac:dyDescent="0.4">
      <c r="A79" s="453" t="s">
        <v>292</v>
      </c>
      <c r="B79" s="453">
        <v>113</v>
      </c>
      <c r="C79" s="455" t="s">
        <v>328</v>
      </c>
      <c r="E79" s="475">
        <v>45325</v>
      </c>
      <c r="F79" s="464">
        <v>35.700000000000003</v>
      </c>
      <c r="G79" s="464" t="s">
        <v>151</v>
      </c>
      <c r="H79" s="476">
        <f>+I79/F79</f>
        <v>97.551359999999988</v>
      </c>
      <c r="I79" s="456">
        <v>3482.5835520000001</v>
      </c>
      <c r="J79" s="465">
        <v>0</v>
      </c>
      <c r="K79" s="456">
        <v>0</v>
      </c>
      <c r="L79" s="465">
        <f t="shared" si="31"/>
        <v>97.551359999999988</v>
      </c>
      <c r="M79" s="456">
        <f t="shared" si="31"/>
        <v>3482.5835520000001</v>
      </c>
      <c r="O79" s="465"/>
      <c r="Q79" s="465"/>
      <c r="S79" s="473"/>
      <c r="T79" s="456"/>
      <c r="V79" s="473"/>
      <c r="X79" s="473"/>
      <c r="Z79" s="473"/>
      <c r="AA79" s="456"/>
      <c r="AC79" s="473"/>
      <c r="AE79" s="473"/>
      <c r="AG79" s="473"/>
      <c r="AH79" s="456"/>
      <c r="AJ79" s="455">
        <v>2620.73</v>
      </c>
      <c r="AK79" s="455">
        <v>2751.77</v>
      </c>
      <c r="AM79" s="264">
        <f t="shared" si="28"/>
        <v>97.551359999999988</v>
      </c>
      <c r="AN79" s="264">
        <f t="shared" si="29"/>
        <v>0</v>
      </c>
      <c r="AO79" s="264">
        <f t="shared" si="30"/>
        <v>97.551359999999988</v>
      </c>
      <c r="AP79" s="264">
        <v>2082</v>
      </c>
    </row>
    <row r="80" spans="1:42" ht="17.45" customHeight="1" x14ac:dyDescent="0.4">
      <c r="A80" s="453" t="s">
        <v>296</v>
      </c>
      <c r="B80" s="453">
        <v>196</v>
      </c>
      <c r="C80" s="455" t="s">
        <v>329</v>
      </c>
      <c r="E80" s="475">
        <v>45353</v>
      </c>
      <c r="F80" s="464">
        <v>26.25</v>
      </c>
      <c r="G80" s="464" t="s">
        <v>151</v>
      </c>
      <c r="H80" s="477">
        <f>+I80/F80</f>
        <v>208.48799999999997</v>
      </c>
      <c r="I80" s="470">
        <v>5472.8099999999995</v>
      </c>
      <c r="J80" s="469">
        <v>0</v>
      </c>
      <c r="K80" s="470">
        <v>0</v>
      </c>
      <c r="L80" s="469">
        <f t="shared" si="31"/>
        <v>208.48799999999997</v>
      </c>
      <c r="M80" s="470">
        <f t="shared" si="31"/>
        <v>5472.8099999999995</v>
      </c>
      <c r="O80" s="465"/>
      <c r="Q80" s="465"/>
      <c r="S80" s="473"/>
      <c r="T80" s="456"/>
      <c r="V80" s="473"/>
      <c r="X80" s="473"/>
      <c r="Z80" s="473"/>
      <c r="AA80" s="456"/>
      <c r="AC80" s="473"/>
      <c r="AE80" s="473"/>
      <c r="AG80" s="473"/>
      <c r="AH80" s="456"/>
      <c r="AJ80" s="267">
        <f>+AK80/1.05</f>
        <v>25.238095238095237</v>
      </c>
      <c r="AK80" s="267">
        <v>26.5</v>
      </c>
      <c r="AM80" s="264">
        <f t="shared" si="28"/>
        <v>208.48799999999997</v>
      </c>
      <c r="AN80" s="264">
        <f t="shared" si="29"/>
        <v>0</v>
      </c>
      <c r="AO80" s="264">
        <f t="shared" si="30"/>
        <v>208.48799999999997</v>
      </c>
      <c r="AP80" s="264">
        <v>2083</v>
      </c>
    </row>
    <row r="81" spans="1:42" ht="17.45" customHeight="1" x14ac:dyDescent="0.4">
      <c r="A81" s="454" t="s">
        <v>326</v>
      </c>
      <c r="C81" s="455"/>
      <c r="H81" s="465">
        <f t="shared" ref="H81:M81" si="32">SUM(H77:H80)</f>
        <v>572.22816</v>
      </c>
      <c r="I81" s="456">
        <f t="shared" si="32"/>
        <v>16247.038992</v>
      </c>
      <c r="J81" s="465">
        <f t="shared" si="32"/>
        <v>0</v>
      </c>
      <c r="K81" s="456">
        <f t="shared" si="32"/>
        <v>0</v>
      </c>
      <c r="L81" s="465">
        <f t="shared" si="32"/>
        <v>572.22816</v>
      </c>
      <c r="M81" s="456">
        <f t="shared" si="32"/>
        <v>16247.038992</v>
      </c>
      <c r="O81" s="465"/>
      <c r="Q81" s="465"/>
      <c r="S81" s="473"/>
      <c r="T81" s="456"/>
      <c r="V81" s="473"/>
      <c r="X81" s="473"/>
      <c r="Z81" s="473"/>
      <c r="AA81" s="456"/>
      <c r="AC81" s="473"/>
      <c r="AE81" s="473"/>
      <c r="AG81" s="473"/>
      <c r="AH81" s="456"/>
      <c r="AM81" s="264">
        <f>SUM(AM77:AM80)</f>
        <v>572.22816</v>
      </c>
      <c r="AN81" s="264">
        <f t="shared" ref="AN81:AP81" si="33">SUM(AN77:AN80)</f>
        <v>0</v>
      </c>
      <c r="AO81" s="264">
        <f t="shared" si="33"/>
        <v>572.22816</v>
      </c>
      <c r="AP81" s="264">
        <f t="shared" si="33"/>
        <v>8326</v>
      </c>
    </row>
    <row r="82" spans="1:42" ht="17.45" customHeight="1" x14ac:dyDescent="0.4">
      <c r="A82" s="478" t="s">
        <v>625</v>
      </c>
      <c r="C82" s="455"/>
      <c r="H82" s="465"/>
      <c r="J82" s="465"/>
      <c r="L82" s="465"/>
      <c r="O82" s="465"/>
      <c r="Q82" s="465"/>
      <c r="S82" s="473"/>
      <c r="T82" s="456"/>
      <c r="V82" s="473"/>
      <c r="X82" s="473"/>
      <c r="Z82" s="473"/>
      <c r="AA82" s="456"/>
      <c r="AC82" s="473"/>
      <c r="AE82" s="473"/>
      <c r="AG82" s="473"/>
      <c r="AH82" s="456"/>
    </row>
    <row r="83" spans="1:42" ht="17.45" customHeight="1" x14ac:dyDescent="0.4">
      <c r="A83" s="453" t="s">
        <v>324</v>
      </c>
      <c r="B83" s="453">
        <v>197</v>
      </c>
      <c r="C83" s="454" t="s">
        <v>553</v>
      </c>
      <c r="H83" s="465">
        <f t="shared" ref="H83:M84" si="34">+O18</f>
        <v>518.85500000000002</v>
      </c>
      <c r="I83" s="456">
        <f t="shared" si="34"/>
        <v>10714.36</v>
      </c>
      <c r="J83" s="465">
        <f t="shared" si="34"/>
        <v>0.41</v>
      </c>
      <c r="K83" s="456">
        <f t="shared" si="34"/>
        <v>12.7</v>
      </c>
      <c r="L83" s="465">
        <f t="shared" si="34"/>
        <v>519.26499999999999</v>
      </c>
      <c r="M83" s="456">
        <f t="shared" si="34"/>
        <v>10727.060000000001</v>
      </c>
      <c r="O83" s="465"/>
      <c r="Q83" s="465"/>
      <c r="S83" s="473"/>
      <c r="T83" s="456"/>
      <c r="V83" s="473"/>
      <c r="X83" s="473"/>
      <c r="Z83" s="473"/>
      <c r="AA83" s="456"/>
      <c r="AC83" s="473"/>
      <c r="AE83" s="473"/>
      <c r="AG83" s="473"/>
      <c r="AH83" s="456"/>
      <c r="AM83" s="264">
        <f t="shared" ref="AM83" si="35">H83</f>
        <v>518.85500000000002</v>
      </c>
      <c r="AN83" s="264">
        <f t="shared" ref="AN83" si="36">J83</f>
        <v>0.41</v>
      </c>
      <c r="AO83" s="264">
        <f t="shared" ref="AO83" si="37">SUM(AM83:AN83)</f>
        <v>519.26499999999999</v>
      </c>
      <c r="AP83" s="264">
        <v>2083</v>
      </c>
    </row>
    <row r="84" spans="1:42" ht="17.45" customHeight="1" x14ac:dyDescent="0.4">
      <c r="A84" s="453" t="s">
        <v>324</v>
      </c>
      <c r="B84" s="453">
        <v>163</v>
      </c>
      <c r="C84" s="455" t="s">
        <v>555</v>
      </c>
      <c r="H84" s="465">
        <f t="shared" si="34"/>
        <v>340.505</v>
      </c>
      <c r="I84" s="456">
        <f t="shared" si="34"/>
        <v>8035.92</v>
      </c>
      <c r="J84" s="465">
        <f t="shared" si="34"/>
        <v>43.664999999999999</v>
      </c>
      <c r="K84" s="456">
        <f t="shared" si="34"/>
        <v>1545.74</v>
      </c>
      <c r="L84" s="465">
        <f t="shared" si="34"/>
        <v>384.17</v>
      </c>
      <c r="M84" s="456">
        <f t="shared" si="34"/>
        <v>9581.66</v>
      </c>
      <c r="O84" s="465"/>
      <c r="Q84" s="465"/>
      <c r="S84" s="473"/>
      <c r="T84" s="456"/>
      <c r="V84" s="473"/>
      <c r="X84" s="473"/>
      <c r="Z84" s="473"/>
      <c r="AA84" s="456"/>
      <c r="AC84" s="473"/>
      <c r="AE84" s="473"/>
      <c r="AG84" s="473"/>
      <c r="AH84" s="456"/>
      <c r="AM84" s="264">
        <f t="shared" ref="AM84:AM85" si="38">H84</f>
        <v>340.505</v>
      </c>
      <c r="AN84" s="264">
        <f t="shared" ref="AN84:AN85" si="39">J84</f>
        <v>43.664999999999999</v>
      </c>
      <c r="AO84" s="264">
        <f t="shared" ref="AO84:AO85" si="40">SUM(AM84:AN84)</f>
        <v>384.17</v>
      </c>
      <c r="AP84" s="264">
        <v>2084</v>
      </c>
    </row>
    <row r="85" spans="1:42" ht="17.45" customHeight="1" x14ac:dyDescent="0.4">
      <c r="A85" s="453" t="s">
        <v>324</v>
      </c>
      <c r="B85" s="453">
        <v>41</v>
      </c>
      <c r="C85" s="454" t="s">
        <v>325</v>
      </c>
      <c r="H85" s="469">
        <f t="shared" ref="H85:M85" si="41">+O31</f>
        <v>351.84231999999997</v>
      </c>
      <c r="I85" s="470">
        <f t="shared" si="41"/>
        <v>10924.7</v>
      </c>
      <c r="J85" s="469">
        <f t="shared" si="41"/>
        <v>46.639959999999995</v>
      </c>
      <c r="K85" s="470">
        <f t="shared" si="41"/>
        <v>2172.2600000000002</v>
      </c>
      <c r="L85" s="469">
        <f t="shared" si="41"/>
        <v>398.48227999999995</v>
      </c>
      <c r="M85" s="470">
        <f t="shared" si="41"/>
        <v>13096.960000000001</v>
      </c>
      <c r="O85" s="465"/>
      <c r="Q85" s="465"/>
      <c r="S85" s="473"/>
      <c r="T85" s="456"/>
      <c r="V85" s="473"/>
      <c r="X85" s="473"/>
      <c r="Z85" s="473"/>
      <c r="AA85" s="456"/>
      <c r="AC85" s="473"/>
      <c r="AE85" s="473"/>
      <c r="AG85" s="473"/>
      <c r="AH85" s="456"/>
      <c r="AM85" s="264">
        <f t="shared" si="38"/>
        <v>351.84231999999997</v>
      </c>
      <c r="AN85" s="264">
        <f t="shared" si="39"/>
        <v>46.639959999999995</v>
      </c>
      <c r="AO85" s="264">
        <f t="shared" si="40"/>
        <v>398.48227999999995</v>
      </c>
      <c r="AP85" s="264">
        <v>2085</v>
      </c>
    </row>
    <row r="86" spans="1:42" ht="17.45" customHeight="1" x14ac:dyDescent="0.4">
      <c r="A86" s="454" t="s">
        <v>326</v>
      </c>
      <c r="C86" s="455"/>
      <c r="H86" s="465">
        <f t="shared" ref="H86:M86" si="42">SUM(H83:H85)</f>
        <v>1211.2023199999999</v>
      </c>
      <c r="I86" s="456">
        <f t="shared" si="42"/>
        <v>29674.98</v>
      </c>
      <c r="J86" s="465">
        <f t="shared" si="42"/>
        <v>90.714959999999991</v>
      </c>
      <c r="K86" s="456">
        <f t="shared" si="42"/>
        <v>3730.7000000000003</v>
      </c>
      <c r="L86" s="465">
        <f t="shared" si="42"/>
        <v>1301.9172799999999</v>
      </c>
      <c r="M86" s="456">
        <f t="shared" si="42"/>
        <v>33405.68</v>
      </c>
      <c r="O86" s="465"/>
      <c r="Q86" s="465"/>
      <c r="S86" s="473"/>
      <c r="T86" s="456"/>
      <c r="V86" s="473"/>
      <c r="X86" s="473"/>
      <c r="Z86" s="473"/>
      <c r="AA86" s="456"/>
      <c r="AC86" s="473"/>
      <c r="AE86" s="473"/>
      <c r="AG86" s="473"/>
      <c r="AH86" s="456"/>
      <c r="AM86" s="264">
        <f>SUM(AM83:AM85)</f>
        <v>1211.2023199999999</v>
      </c>
      <c r="AN86" s="264">
        <f t="shared" ref="AN86:AP86" si="43">SUM(AN83:AN85)</f>
        <v>90.714959999999991</v>
      </c>
      <c r="AO86" s="264">
        <f t="shared" si="43"/>
        <v>1301.9172799999999</v>
      </c>
      <c r="AP86" s="264">
        <f t="shared" si="43"/>
        <v>6252</v>
      </c>
    </row>
    <row r="87" spans="1:42" ht="17.45" customHeight="1" x14ac:dyDescent="0.4">
      <c r="C87" s="455"/>
      <c r="J87" s="465"/>
      <c r="L87" s="465"/>
      <c r="O87" s="465"/>
      <c r="Q87" s="465"/>
      <c r="S87" s="473"/>
      <c r="T87" s="456"/>
      <c r="V87" s="473"/>
      <c r="X87" s="473"/>
      <c r="Z87" s="473"/>
      <c r="AA87" s="456"/>
      <c r="AC87" s="473"/>
      <c r="AE87" s="473"/>
      <c r="AG87" s="473"/>
      <c r="AH87" s="456"/>
      <c r="AM87" s="264">
        <f>SUM(AM73,AM81,AM86)</f>
        <v>15932.125020000001</v>
      </c>
      <c r="AN87" s="264">
        <f t="shared" ref="AN87:AP87" si="44">SUM(AN73,AN81,AN86)</f>
        <v>1307.92109</v>
      </c>
      <c r="AO87" s="264">
        <f t="shared" si="44"/>
        <v>17240.046110000003</v>
      </c>
      <c r="AP87" s="264">
        <f t="shared" si="44"/>
        <v>149778</v>
      </c>
    </row>
    <row r="88" spans="1:42" ht="17.45" customHeight="1" thickBot="1" x14ac:dyDescent="0.45">
      <c r="A88" s="454" t="s">
        <v>330</v>
      </c>
      <c r="C88" s="455"/>
      <c r="H88" s="479">
        <f>+H73+H81+H86</f>
        <v>15932.125020000001</v>
      </c>
      <c r="I88" s="480">
        <f>+I73+I81+I86</f>
        <v>468400.10899199999</v>
      </c>
      <c r="J88" s="479">
        <f>+J73+J86</f>
        <v>1307.92109</v>
      </c>
      <c r="K88" s="480">
        <f>+K73+K81+K86</f>
        <v>58884.350000000006</v>
      </c>
      <c r="L88" s="479">
        <f>+L73+L81+L86</f>
        <v>17240.046110000003</v>
      </c>
      <c r="M88" s="481">
        <f>+M73+M81+M86</f>
        <v>527284.45899200009</v>
      </c>
      <c r="O88" s="465"/>
      <c r="Q88" s="465"/>
      <c r="S88" s="473"/>
      <c r="T88" s="456"/>
      <c r="V88" s="473"/>
      <c r="X88" s="473"/>
      <c r="Z88" s="473"/>
      <c r="AA88" s="456"/>
      <c r="AC88" s="473"/>
      <c r="AE88" s="473"/>
      <c r="AG88" s="473"/>
      <c r="AH88" s="456"/>
    </row>
    <row r="89" spans="1:42" ht="17.45" customHeight="1" thickTop="1" x14ac:dyDescent="0.4">
      <c r="H89" s="465"/>
      <c r="J89" s="465"/>
      <c r="L89" s="465"/>
      <c r="O89" s="465"/>
      <c r="Q89" s="465"/>
      <c r="S89" s="473"/>
      <c r="T89" s="456"/>
      <c r="V89" s="473"/>
      <c r="X89" s="473"/>
      <c r="Z89" s="473"/>
      <c r="AA89" s="456"/>
      <c r="AC89" s="473"/>
      <c r="AE89" s="473"/>
      <c r="AG89" s="473"/>
      <c r="AH89" s="456"/>
    </row>
    <row r="90" spans="1:42" ht="17.45" customHeight="1" x14ac:dyDescent="0.4">
      <c r="H90" s="465"/>
      <c r="J90" s="465"/>
      <c r="L90" s="465"/>
      <c r="O90" s="465"/>
      <c r="Q90" s="465"/>
      <c r="S90" s="473"/>
      <c r="T90" s="456"/>
      <c r="V90" s="473"/>
      <c r="X90" s="473"/>
      <c r="Z90" s="473"/>
      <c r="AA90" s="456"/>
      <c r="AC90" s="473"/>
      <c r="AE90" s="473"/>
      <c r="AG90" s="473"/>
      <c r="AH90" s="456"/>
    </row>
    <row r="91" spans="1:42" ht="17.45" customHeight="1" x14ac:dyDescent="0.4">
      <c r="H91" s="465"/>
      <c r="J91" s="465"/>
      <c r="K91" s="456" t="s">
        <v>626</v>
      </c>
      <c r="L91" s="465"/>
      <c r="M91" s="456">
        <f>+M88</f>
        <v>527284.45899200009</v>
      </c>
      <c r="O91" s="465"/>
      <c r="Q91" s="465"/>
      <c r="S91" s="473"/>
      <c r="T91" s="456"/>
      <c r="V91" s="473"/>
      <c r="X91" s="473"/>
      <c r="Z91" s="473"/>
      <c r="AA91" s="456"/>
      <c r="AC91" s="473"/>
      <c r="AE91" s="473"/>
      <c r="AG91" s="473"/>
      <c r="AH91" s="456"/>
    </row>
    <row r="92" spans="1:42" ht="17.45" customHeight="1" x14ac:dyDescent="0.4">
      <c r="H92" s="465"/>
      <c r="J92" s="465"/>
      <c r="K92" s="456" t="s">
        <v>627</v>
      </c>
      <c r="L92" s="465"/>
      <c r="M92" s="456">
        <v>-430014.64030919917</v>
      </c>
      <c r="O92" s="465"/>
      <c r="Q92" s="465"/>
      <c r="S92" s="473"/>
      <c r="T92" s="456"/>
      <c r="V92" s="473"/>
      <c r="X92" s="473"/>
      <c r="Z92" s="473"/>
      <c r="AA92" s="456"/>
      <c r="AC92" s="473"/>
      <c r="AE92" s="473"/>
      <c r="AG92" s="473"/>
      <c r="AH92" s="456"/>
    </row>
    <row r="93" spans="1:42" ht="17.45" customHeight="1" thickBot="1" x14ac:dyDescent="0.45">
      <c r="H93" s="465"/>
      <c r="J93" s="465"/>
      <c r="K93" s="465" t="s">
        <v>628</v>
      </c>
      <c r="L93" s="465"/>
      <c r="M93" s="482">
        <f>+M91+M92</f>
        <v>97269.81868280092</v>
      </c>
      <c r="O93" s="465"/>
      <c r="Q93" s="465"/>
      <c r="S93" s="473"/>
      <c r="T93" s="456"/>
      <c r="V93" s="473"/>
      <c r="X93" s="473"/>
      <c r="Z93" s="473"/>
      <c r="AA93" s="456"/>
      <c r="AC93" s="473"/>
      <c r="AE93" s="473"/>
      <c r="AG93" s="473"/>
      <c r="AH93" s="456"/>
    </row>
    <row r="94" spans="1:42" ht="17.45" customHeight="1" thickTop="1" x14ac:dyDescent="0.4">
      <c r="H94" s="465"/>
      <c r="J94" s="465"/>
      <c r="L94" s="465"/>
      <c r="M94" s="265" t="s">
        <v>629</v>
      </c>
      <c r="O94" s="465"/>
      <c r="Q94" s="465"/>
      <c r="S94" s="473"/>
      <c r="T94" s="456"/>
      <c r="V94" s="473"/>
      <c r="X94" s="473"/>
      <c r="Z94" s="473"/>
      <c r="AA94" s="456"/>
      <c r="AC94" s="473"/>
      <c r="AE94" s="473"/>
      <c r="AG94" s="473"/>
      <c r="AH94" s="456"/>
    </row>
    <row r="95" spans="1:42" ht="17.45" customHeight="1" x14ac:dyDescent="0.4">
      <c r="H95" s="465"/>
      <c r="J95" s="465"/>
      <c r="L95" s="465"/>
      <c r="M95" s="265"/>
      <c r="O95" s="465"/>
      <c r="Q95" s="465"/>
      <c r="S95" s="473"/>
      <c r="T95" s="456"/>
      <c r="V95" s="473"/>
      <c r="X95" s="473"/>
      <c r="Z95" s="473"/>
      <c r="AA95" s="456"/>
      <c r="AC95" s="473"/>
      <c r="AE95" s="473"/>
      <c r="AG95" s="473"/>
      <c r="AH95" s="456"/>
    </row>
    <row r="96" spans="1:42" ht="17.45" customHeight="1" x14ac:dyDescent="0.4">
      <c r="H96" s="465"/>
      <c r="J96" s="465"/>
      <c r="L96" s="465"/>
      <c r="O96" s="465"/>
      <c r="Q96" s="465"/>
      <c r="S96" s="473"/>
      <c r="T96" s="456"/>
      <c r="V96" s="473"/>
      <c r="X96" s="473"/>
      <c r="Z96" s="473"/>
      <c r="AA96" s="456"/>
      <c r="AC96" s="473"/>
      <c r="AE96" s="473"/>
      <c r="AG96" s="473"/>
      <c r="AH96" s="456"/>
    </row>
    <row r="97" spans="1:42" ht="17.45" customHeight="1" x14ac:dyDescent="0.4">
      <c r="A97" s="474" t="s">
        <v>630</v>
      </c>
      <c r="H97" s="465"/>
      <c r="J97" s="465"/>
      <c r="L97" s="465"/>
      <c r="O97" s="465"/>
      <c r="Q97" s="465"/>
      <c r="S97" s="473"/>
      <c r="T97" s="456"/>
      <c r="V97" s="473"/>
      <c r="X97" s="473"/>
      <c r="Z97" s="473"/>
      <c r="AA97" s="456"/>
      <c r="AC97" s="473"/>
      <c r="AE97" s="473"/>
      <c r="AG97" s="473"/>
      <c r="AH97" s="456"/>
    </row>
    <row r="98" spans="1:42" ht="17.45" customHeight="1" x14ac:dyDescent="0.4">
      <c r="C98" s="454" t="s">
        <v>307</v>
      </c>
      <c r="E98" s="453" t="s">
        <v>565</v>
      </c>
      <c r="F98" s="464"/>
      <c r="G98" s="464"/>
      <c r="H98" s="465">
        <v>109.5</v>
      </c>
      <c r="I98" s="456">
        <v>0</v>
      </c>
      <c r="J98" s="465">
        <v>0</v>
      </c>
      <c r="K98" s="456">
        <v>0</v>
      </c>
      <c r="L98" s="465">
        <f t="shared" ref="L98:M100" si="45">+H98+J98</f>
        <v>109.5</v>
      </c>
      <c r="M98" s="456">
        <f t="shared" si="45"/>
        <v>0</v>
      </c>
      <c r="O98" s="465">
        <v>1.5</v>
      </c>
      <c r="P98" s="456">
        <v>0</v>
      </c>
      <c r="Q98" s="465">
        <v>0</v>
      </c>
      <c r="R98" s="456">
        <v>0</v>
      </c>
      <c r="S98" s="465">
        <f t="shared" ref="S98:T100" si="46">+O98+Q98</f>
        <v>1.5</v>
      </c>
      <c r="T98" s="456">
        <f t="shared" si="46"/>
        <v>0</v>
      </c>
      <c r="U98" s="456"/>
      <c r="V98" s="465">
        <v>0</v>
      </c>
      <c r="W98" s="456">
        <v>0</v>
      </c>
      <c r="X98" s="465">
        <v>0</v>
      </c>
      <c r="Y98" s="456">
        <v>0</v>
      </c>
      <c r="Z98" s="465">
        <f t="shared" ref="Z98:AA100" si="47">+V98+X98</f>
        <v>0</v>
      </c>
      <c r="AA98" s="456">
        <f t="shared" si="47"/>
        <v>0</v>
      </c>
      <c r="AB98" s="456"/>
      <c r="AC98" s="465">
        <f t="shared" ref="AC98:AF100" si="48">+H98+O98+V98</f>
        <v>111</v>
      </c>
      <c r="AD98" s="456">
        <f t="shared" si="48"/>
        <v>0</v>
      </c>
      <c r="AE98" s="465">
        <f t="shared" si="48"/>
        <v>0</v>
      </c>
      <c r="AF98" s="456">
        <f t="shared" si="48"/>
        <v>0</v>
      </c>
      <c r="AG98" s="465">
        <f t="shared" ref="AG98:AH100" si="49">+AC98+AE98</f>
        <v>111</v>
      </c>
      <c r="AH98" s="456">
        <f t="shared" si="49"/>
        <v>0</v>
      </c>
    </row>
    <row r="99" spans="1:42" ht="17.45" customHeight="1" x14ac:dyDescent="0.4">
      <c r="C99" s="454" t="s">
        <v>631</v>
      </c>
      <c r="E99" s="453" t="s">
        <v>565</v>
      </c>
      <c r="F99" s="464"/>
      <c r="G99" s="464"/>
      <c r="H99" s="465">
        <v>0</v>
      </c>
      <c r="I99" s="456">
        <v>0</v>
      </c>
      <c r="J99" s="465">
        <v>0</v>
      </c>
      <c r="K99" s="456">
        <v>0</v>
      </c>
      <c r="L99" s="465">
        <f t="shared" si="45"/>
        <v>0</v>
      </c>
      <c r="M99" s="456">
        <f t="shared" si="45"/>
        <v>0</v>
      </c>
      <c r="O99" s="465">
        <v>22.5</v>
      </c>
      <c r="P99" s="456">
        <v>0</v>
      </c>
      <c r="Q99" s="465">
        <v>0</v>
      </c>
      <c r="R99" s="456">
        <v>0</v>
      </c>
      <c r="S99" s="465">
        <f t="shared" si="46"/>
        <v>22.5</v>
      </c>
      <c r="T99" s="456">
        <f t="shared" si="46"/>
        <v>0</v>
      </c>
      <c r="U99" s="456"/>
      <c r="V99" s="465">
        <v>0</v>
      </c>
      <c r="W99" s="456">
        <v>0</v>
      </c>
      <c r="X99" s="465">
        <v>0</v>
      </c>
      <c r="Y99" s="456">
        <v>0</v>
      </c>
      <c r="Z99" s="465">
        <f t="shared" si="47"/>
        <v>0</v>
      </c>
      <c r="AA99" s="456">
        <f t="shared" si="47"/>
        <v>0</v>
      </c>
      <c r="AB99" s="456"/>
      <c r="AC99" s="465">
        <f t="shared" si="48"/>
        <v>22.5</v>
      </c>
      <c r="AD99" s="456">
        <f t="shared" si="48"/>
        <v>0</v>
      </c>
      <c r="AE99" s="465">
        <f t="shared" si="48"/>
        <v>0</v>
      </c>
      <c r="AF99" s="456">
        <f t="shared" si="48"/>
        <v>0</v>
      </c>
      <c r="AG99" s="465">
        <f t="shared" si="49"/>
        <v>22.5</v>
      </c>
      <c r="AH99" s="456">
        <f t="shared" si="49"/>
        <v>0</v>
      </c>
    </row>
    <row r="100" spans="1:42" ht="17.45" customHeight="1" x14ac:dyDescent="0.4">
      <c r="C100" s="454" t="s">
        <v>312</v>
      </c>
      <c r="E100" s="453" t="s">
        <v>565</v>
      </c>
      <c r="F100" s="464"/>
      <c r="G100" s="464"/>
      <c r="H100" s="465">
        <v>0</v>
      </c>
      <c r="I100" s="456">
        <v>0</v>
      </c>
      <c r="J100" s="465">
        <v>0</v>
      </c>
      <c r="K100" s="456">
        <v>0</v>
      </c>
      <c r="L100" s="465">
        <f t="shared" si="45"/>
        <v>0</v>
      </c>
      <c r="M100" s="456">
        <f t="shared" si="45"/>
        <v>0</v>
      </c>
      <c r="O100" s="465">
        <v>1</v>
      </c>
      <c r="P100" s="456">
        <v>0</v>
      </c>
      <c r="Q100" s="465">
        <v>0</v>
      </c>
      <c r="R100" s="456">
        <v>0</v>
      </c>
      <c r="S100" s="465">
        <f t="shared" si="46"/>
        <v>1</v>
      </c>
      <c r="T100" s="456">
        <f t="shared" si="46"/>
        <v>0</v>
      </c>
      <c r="U100" s="456"/>
      <c r="V100" s="465">
        <v>0</v>
      </c>
      <c r="W100" s="456">
        <v>0</v>
      </c>
      <c r="X100" s="465">
        <v>0</v>
      </c>
      <c r="Y100" s="456">
        <v>0</v>
      </c>
      <c r="Z100" s="465">
        <f t="shared" si="47"/>
        <v>0</v>
      </c>
      <c r="AA100" s="456">
        <f t="shared" si="47"/>
        <v>0</v>
      </c>
      <c r="AB100" s="456"/>
      <c r="AC100" s="465">
        <f t="shared" si="48"/>
        <v>1</v>
      </c>
      <c r="AD100" s="456">
        <f t="shared" si="48"/>
        <v>0</v>
      </c>
      <c r="AE100" s="465">
        <f t="shared" si="48"/>
        <v>0</v>
      </c>
      <c r="AF100" s="456">
        <f t="shared" si="48"/>
        <v>0</v>
      </c>
      <c r="AG100" s="465">
        <f t="shared" si="49"/>
        <v>1</v>
      </c>
      <c r="AH100" s="456">
        <f t="shared" si="49"/>
        <v>0</v>
      </c>
    </row>
    <row r="101" spans="1:42" ht="17.45" customHeight="1" x14ac:dyDescent="0.4">
      <c r="A101" s="453" t="s">
        <v>313</v>
      </c>
      <c r="B101" s="453">
        <v>214</v>
      </c>
      <c r="C101" s="454" t="s">
        <v>632</v>
      </c>
      <c r="D101" s="454" t="s">
        <v>576</v>
      </c>
      <c r="E101" s="453" t="s">
        <v>293</v>
      </c>
      <c r="F101" s="464">
        <v>7050.72</v>
      </c>
      <c r="G101" s="464" t="s">
        <v>294</v>
      </c>
      <c r="H101" s="465">
        <v>37.576799999999992</v>
      </c>
      <c r="I101" s="456">
        <f>IF($G101="H",ROUND($F101*H101,2),IF($G101="S",ROUND(($F101/80)*H101,2),1))</f>
        <v>3311.79</v>
      </c>
      <c r="J101" s="465">
        <v>0</v>
      </c>
      <c r="K101" s="456">
        <f>IF($G101="H",ROUND(($F101*1.5)*J101,2),IF($G101="S",ROUND(($F101/80)*J101,2),1))</f>
        <v>0</v>
      </c>
      <c r="L101" s="465">
        <f>+H101+J101</f>
        <v>37.576799999999992</v>
      </c>
      <c r="M101" s="456">
        <f>+I101+K101</f>
        <v>3311.79</v>
      </c>
      <c r="O101" s="465">
        <v>87.67919999999998</v>
      </c>
      <c r="P101" s="456">
        <f>IF($G101="H",ROUND($F101*O101,2),IF($G101="S",ROUND(($F101/80)*O101,2),1))</f>
        <v>7727.52</v>
      </c>
      <c r="Q101" s="465">
        <v>0</v>
      </c>
      <c r="R101" s="456">
        <f>IF($G101="H",ROUND(($F101*1.5)*Q101,2),IF($G101="S",ROUND(($F101/80)*Q101,2),1))</f>
        <v>0</v>
      </c>
      <c r="S101" s="465">
        <f>+O101+Q101</f>
        <v>87.67919999999998</v>
      </c>
      <c r="T101" s="456">
        <f>+P101+R101</f>
        <v>7727.52</v>
      </c>
      <c r="U101" s="456"/>
      <c r="V101" s="465">
        <v>0</v>
      </c>
      <c r="W101" s="456">
        <f>IF($G101="H",ROUND($F101*V101,2),IF($G101="S",ROUND(($F101/80)*V101,2),1))</f>
        <v>0</v>
      </c>
      <c r="X101" s="465">
        <v>0</v>
      </c>
      <c r="Y101" s="456">
        <f>IF($G101="H",ROUND(($F101*1.5)*X101,2),IF($G101="S",ROUND(($F101/80)*X101,2),1))</f>
        <v>0</v>
      </c>
      <c r="Z101" s="465">
        <f>+V101+X101</f>
        <v>0</v>
      </c>
      <c r="AA101" s="456">
        <f>+W101+Y101</f>
        <v>0</v>
      </c>
      <c r="AB101" s="456"/>
      <c r="AC101" s="465">
        <f>+H101+O101+V101</f>
        <v>125.25599999999997</v>
      </c>
      <c r="AD101" s="456">
        <f>+I101+P101+W101</f>
        <v>11039.310000000001</v>
      </c>
      <c r="AE101" s="465">
        <f>+J101+Q101+X101</f>
        <v>0</v>
      </c>
      <c r="AF101" s="456">
        <f>+K101+R101+Y101</f>
        <v>0</v>
      </c>
      <c r="AG101" s="465">
        <f>+AC101+AE101</f>
        <v>125.25599999999997</v>
      </c>
      <c r="AH101" s="456">
        <f>+AD101+AF101</f>
        <v>11039.310000000001</v>
      </c>
      <c r="AK101" s="464">
        <v>7403.26</v>
      </c>
    </row>
    <row r="108" spans="1:42" x14ac:dyDescent="0.4">
      <c r="AM108" s="505"/>
      <c r="AN108" s="505"/>
      <c r="AO108" s="505"/>
      <c r="AP108" s="505"/>
    </row>
    <row r="109" spans="1:42" x14ac:dyDescent="0.4">
      <c r="AM109" s="505"/>
      <c r="AN109" s="505"/>
      <c r="AO109" s="505"/>
      <c r="AP109" s="505"/>
    </row>
    <row r="110" spans="1:42" x14ac:dyDescent="0.4">
      <c r="AM110" s="505"/>
      <c r="AN110" s="505"/>
      <c r="AO110" s="505"/>
      <c r="AP110" s="505"/>
    </row>
    <row r="111" spans="1:42" x14ac:dyDescent="0.4">
      <c r="AM111" s="505"/>
      <c r="AN111" s="505"/>
      <c r="AO111" s="505"/>
      <c r="AP111" s="505"/>
    </row>
    <row r="112" spans="1:42" x14ac:dyDescent="0.4">
      <c r="AM112" s="505"/>
      <c r="AN112" s="505"/>
      <c r="AO112" s="505"/>
      <c r="AP112" s="505"/>
    </row>
    <row r="113" spans="39:42" x14ac:dyDescent="0.4">
      <c r="AM113" s="505"/>
      <c r="AN113" s="505"/>
      <c r="AO113" s="505"/>
      <c r="AP113" s="505"/>
    </row>
    <row r="114" spans="39:42" x14ac:dyDescent="0.4">
      <c r="AM114" s="505"/>
      <c r="AN114" s="505"/>
      <c r="AO114" s="505"/>
      <c r="AP114" s="505"/>
    </row>
    <row r="115" spans="39:42" x14ac:dyDescent="0.4">
      <c r="AM115" s="505"/>
      <c r="AN115" s="505"/>
      <c r="AO115" s="505"/>
      <c r="AP115" s="505"/>
    </row>
    <row r="116" spans="39:42" x14ac:dyDescent="0.4">
      <c r="AM116" s="505"/>
      <c r="AN116" s="505"/>
      <c r="AO116" s="505"/>
      <c r="AP116" s="505"/>
    </row>
    <row r="117" spans="39:42" x14ac:dyDescent="0.4">
      <c r="AM117" s="505"/>
      <c r="AN117" s="505"/>
      <c r="AO117" s="505"/>
      <c r="AP117" s="505"/>
    </row>
  </sheetData>
  <mergeCells count="5">
    <mergeCell ref="H5:M5"/>
    <mergeCell ref="O5:T5"/>
    <mergeCell ref="V5:AA5"/>
    <mergeCell ref="AC5:AH5"/>
    <mergeCell ref="AM5:A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547A-D238-4E2A-8990-1C6F0572896B}">
  <dimension ref="A1:K73"/>
  <sheetViews>
    <sheetView topLeftCell="A22" workbookViewId="0">
      <selection activeCell="E33" sqref="E33"/>
    </sheetView>
  </sheetViews>
  <sheetFormatPr defaultRowHeight="15" x14ac:dyDescent="0.4"/>
  <cols>
    <col min="1" max="1" width="3.21875" style="340" customWidth="1"/>
    <col min="2" max="2" width="27.44140625" style="340" bestFit="1" customWidth="1"/>
    <col min="3" max="3" width="12.21875" style="340" customWidth="1"/>
    <col min="4" max="4" width="3.21875" style="341" customWidth="1"/>
    <col min="5" max="5" width="10.5546875" style="340" bestFit="1" customWidth="1"/>
    <col min="6" max="6" width="10.6640625" style="340" bestFit="1" customWidth="1"/>
    <col min="7" max="7" width="9.33203125" style="340" bestFit="1" customWidth="1"/>
    <col min="8" max="8" width="10.88671875" style="340" customWidth="1"/>
    <col min="9" max="10" width="8.88671875" style="116"/>
    <col min="11" max="11" width="12" style="116" bestFit="1" customWidth="1"/>
    <col min="12" max="16384" width="8.88671875" style="116"/>
  </cols>
  <sheetData>
    <row r="1" spans="1:8" x14ac:dyDescent="0.4">
      <c r="A1" s="340" t="s">
        <v>392</v>
      </c>
    </row>
    <row r="2" spans="1:8" x14ac:dyDescent="0.4">
      <c r="A2" s="340" t="s">
        <v>394</v>
      </c>
      <c r="C2" s="342"/>
    </row>
    <row r="3" spans="1:8" x14ac:dyDescent="0.4">
      <c r="C3" s="342"/>
    </row>
    <row r="4" spans="1:8" x14ac:dyDescent="0.4">
      <c r="C4" s="342"/>
    </row>
    <row r="5" spans="1:8" x14ac:dyDescent="0.4">
      <c r="C5" s="342"/>
    </row>
    <row r="6" spans="1:8" x14ac:dyDescent="0.4">
      <c r="B6" s="340" t="s">
        <v>397</v>
      </c>
      <c r="C6" s="342"/>
    </row>
    <row r="7" spans="1:8" x14ac:dyDescent="0.4">
      <c r="B7" s="340" t="s">
        <v>398</v>
      </c>
      <c r="C7" s="342"/>
      <c r="H7" s="343">
        <f>-E48</f>
        <v>-37132.556009471999</v>
      </c>
    </row>
    <row r="8" spans="1:8" x14ac:dyDescent="0.4">
      <c r="B8" s="340" t="s">
        <v>399</v>
      </c>
      <c r="C8" s="342"/>
      <c r="H8" s="344">
        <f>-E49</f>
        <v>-1377</v>
      </c>
    </row>
    <row r="9" spans="1:8" ht="15.4" thickBot="1" x14ac:dyDescent="0.45">
      <c r="B9" s="340" t="s">
        <v>57</v>
      </c>
      <c r="C9" s="342"/>
      <c r="H9" s="497">
        <f>SUM(H7:H8)</f>
        <v>-38509.556009471999</v>
      </c>
    </row>
    <row r="10" spans="1:8" ht="15.4" thickTop="1" x14ac:dyDescent="0.4">
      <c r="C10" s="342"/>
    </row>
    <row r="11" spans="1:8" x14ac:dyDescent="0.4">
      <c r="C11" s="342"/>
    </row>
    <row r="12" spans="1:8" x14ac:dyDescent="0.4">
      <c r="C12" s="342"/>
    </row>
    <row r="13" spans="1:8" x14ac:dyDescent="0.4">
      <c r="C13" s="342"/>
    </row>
    <row r="14" spans="1:8" x14ac:dyDescent="0.4">
      <c r="B14" s="340" t="s">
        <v>640</v>
      </c>
      <c r="C14" s="342"/>
      <c r="H14" s="412">
        <v>458657.76</v>
      </c>
    </row>
    <row r="15" spans="1:8" x14ac:dyDescent="0.4">
      <c r="B15" s="340" t="s">
        <v>641</v>
      </c>
      <c r="C15" s="342"/>
      <c r="H15" s="422">
        <v>32133.959999999995</v>
      </c>
    </row>
    <row r="16" spans="1:8" x14ac:dyDescent="0.4">
      <c r="B16" s="340" t="s">
        <v>642</v>
      </c>
      <c r="C16" s="342"/>
      <c r="H16" s="412">
        <f>SUM(H14:H15)</f>
        <v>490791.72000000003</v>
      </c>
    </row>
    <row r="17" spans="2:8" x14ac:dyDescent="0.4">
      <c r="B17" s="340" t="s">
        <v>462</v>
      </c>
      <c r="C17" s="342"/>
      <c r="H17" s="498">
        <f>H28</f>
        <v>0.11510399464540856</v>
      </c>
    </row>
    <row r="18" spans="2:8" x14ac:dyDescent="0.4">
      <c r="B18" s="340" t="s">
        <v>643</v>
      </c>
      <c r="C18" s="342"/>
      <c r="H18" s="412">
        <f>ROUND(H16*H17,0)</f>
        <v>56492</v>
      </c>
    </row>
    <row r="19" spans="2:8" x14ac:dyDescent="0.4">
      <c r="B19" s="340" t="s">
        <v>644</v>
      </c>
      <c r="C19" s="342"/>
      <c r="H19" s="422">
        <f>-H24</f>
        <v>-51241.715171328011</v>
      </c>
    </row>
    <row r="20" spans="2:8" ht="15.4" thickBot="1" x14ac:dyDescent="0.45">
      <c r="B20" s="340" t="s">
        <v>262</v>
      </c>
      <c r="C20" s="342"/>
      <c r="H20" s="499">
        <f>ROUND(SUM(H18:H19),0)</f>
        <v>5250</v>
      </c>
    </row>
    <row r="21" spans="2:8" ht="15.4" thickTop="1" x14ac:dyDescent="0.4">
      <c r="C21" s="342"/>
      <c r="H21" s="412"/>
    </row>
    <row r="22" spans="2:8" x14ac:dyDescent="0.4">
      <c r="B22" s="340" t="s">
        <v>645</v>
      </c>
      <c r="H22" s="412">
        <f>E54</f>
        <v>48008.216985600011</v>
      </c>
    </row>
    <row r="23" spans="2:8" x14ac:dyDescent="0.4">
      <c r="B23" s="340" t="s">
        <v>646</v>
      </c>
      <c r="H23" s="422">
        <f>E55</f>
        <v>3233.4981857280004</v>
      </c>
    </row>
    <row r="24" spans="2:8" ht="15.4" thickBot="1" x14ac:dyDescent="0.45">
      <c r="B24" s="340" t="s">
        <v>647</v>
      </c>
      <c r="H24" s="497">
        <f>SUM(H22:H23)</f>
        <v>51241.715171328011</v>
      </c>
    </row>
    <row r="25" spans="2:8" ht="15.4" thickTop="1" x14ac:dyDescent="0.4"/>
    <row r="26" spans="2:8" x14ac:dyDescent="0.4">
      <c r="B26" s="340" t="s">
        <v>648</v>
      </c>
      <c r="H26" s="342">
        <f>'Emp Sal &amp; Wages'!AO87</f>
        <v>17240.046110000003</v>
      </c>
    </row>
    <row r="27" spans="2:8" x14ac:dyDescent="0.4">
      <c r="B27" s="340" t="s">
        <v>649</v>
      </c>
      <c r="H27" s="411">
        <f>'Emp Sal &amp; Wages'!AP87</f>
        <v>149778</v>
      </c>
    </row>
    <row r="28" spans="2:8" ht="15.4" thickBot="1" x14ac:dyDescent="0.45">
      <c r="B28" s="340" t="s">
        <v>461</v>
      </c>
      <c r="H28" s="500">
        <f>H26/H27</f>
        <v>0.11510399464540856</v>
      </c>
    </row>
    <row r="29" spans="2:8" ht="15.4" thickTop="1" x14ac:dyDescent="0.4">
      <c r="H29" s="423"/>
    </row>
    <row r="30" spans="2:8" x14ac:dyDescent="0.4">
      <c r="C30" s="351" t="s">
        <v>54</v>
      </c>
      <c r="E30" s="362" t="s">
        <v>465</v>
      </c>
      <c r="H30" s="423"/>
    </row>
    <row r="31" spans="2:8" x14ac:dyDescent="0.4">
      <c r="C31" s="342" t="s">
        <v>464</v>
      </c>
      <c r="E31" s="362" t="s">
        <v>466</v>
      </c>
    </row>
    <row r="32" spans="2:8" x14ac:dyDescent="0.4">
      <c r="B32" s="340" t="s">
        <v>421</v>
      </c>
      <c r="C32" s="343">
        <f>'Emp Sal &amp; Wages'!M91</f>
        <v>527284.45899200009</v>
      </c>
      <c r="E32" s="413">
        <v>7.0000000000000007E-2</v>
      </c>
      <c r="H32" s="342">
        <f>ROUND(C32*E32,0)</f>
        <v>36910</v>
      </c>
    </row>
    <row r="33" spans="1:11" x14ac:dyDescent="0.4">
      <c r="B33" s="340" t="s">
        <v>463</v>
      </c>
      <c r="C33" s="342">
        <f>C32</f>
        <v>527284.45899200009</v>
      </c>
      <c r="E33" s="414">
        <v>0.1283</v>
      </c>
      <c r="H33" s="344">
        <f>ROUND(C33*E33,0)</f>
        <v>67651</v>
      </c>
    </row>
    <row r="34" spans="1:11" x14ac:dyDescent="0.4">
      <c r="B34" s="340" t="s">
        <v>467</v>
      </c>
      <c r="C34" s="342"/>
      <c r="H34" s="345">
        <f>SUM(H32:H33)</f>
        <v>104561</v>
      </c>
      <c r="K34" s="404">
        <f>C32</f>
        <v>527284.45899200009</v>
      </c>
    </row>
    <row r="35" spans="1:11" x14ac:dyDescent="0.4">
      <c r="B35" s="340" t="s">
        <v>468</v>
      </c>
      <c r="C35" s="342"/>
      <c r="H35" s="344">
        <f>-E53-E58</f>
        <v>-82501.01253734401</v>
      </c>
      <c r="K35" s="501">
        <v>0.57999999999999996</v>
      </c>
    </row>
    <row r="36" spans="1:11" ht="15.4" thickBot="1" x14ac:dyDescent="0.45">
      <c r="B36" s="340" t="s">
        <v>469</v>
      </c>
      <c r="C36" s="342"/>
      <c r="H36" s="497">
        <f>ROUND(SUM(H34:H35),0)</f>
        <v>22060</v>
      </c>
      <c r="K36" s="116">
        <f>ROUND(K34*K35,0)</f>
        <v>305825</v>
      </c>
    </row>
    <row r="37" spans="1:11" ht="15.4" thickTop="1" x14ac:dyDescent="0.4">
      <c r="C37" s="342"/>
    </row>
    <row r="38" spans="1:11" x14ac:dyDescent="0.4">
      <c r="C38" s="342"/>
    </row>
    <row r="39" spans="1:11" x14ac:dyDescent="0.4">
      <c r="B39" s="340" t="s">
        <v>421</v>
      </c>
      <c r="C39" s="342"/>
      <c r="H39" s="345">
        <f>E53</f>
        <v>24001.991491584005</v>
      </c>
    </row>
    <row r="40" spans="1:11" x14ac:dyDescent="0.4">
      <c r="B40" s="340" t="s">
        <v>463</v>
      </c>
      <c r="C40" s="342"/>
      <c r="H40" s="344">
        <f>E58</f>
        <v>58499.021045759997</v>
      </c>
    </row>
    <row r="41" spans="1:11" ht="15.4" thickBot="1" x14ac:dyDescent="0.45">
      <c r="B41" s="340" t="s">
        <v>650</v>
      </c>
      <c r="C41" s="342"/>
      <c r="H41" s="497">
        <f>SUM(H39:H40)</f>
        <v>82501.01253734401</v>
      </c>
    </row>
    <row r="42" spans="1:11" ht="15.4" thickTop="1" x14ac:dyDescent="0.4">
      <c r="C42" s="342"/>
    </row>
    <row r="43" spans="1:11" x14ac:dyDescent="0.4">
      <c r="A43" s="340" t="s">
        <v>400</v>
      </c>
      <c r="C43" s="345"/>
    </row>
    <row r="44" spans="1:11" x14ac:dyDescent="0.4">
      <c r="B44" s="424"/>
    </row>
    <row r="45" spans="1:11" x14ac:dyDescent="0.4">
      <c r="B45" s="424"/>
    </row>
    <row r="46" spans="1:11" x14ac:dyDescent="0.4">
      <c r="A46" s="611" t="s">
        <v>401</v>
      </c>
      <c r="B46" s="611"/>
      <c r="C46" s="611"/>
      <c r="D46" s="384"/>
      <c r="E46" s="612" t="s">
        <v>458</v>
      </c>
      <c r="F46" s="612"/>
      <c r="G46" s="612"/>
      <c r="H46" s="612"/>
    </row>
    <row r="47" spans="1:11" x14ac:dyDescent="0.4">
      <c r="A47" s="348" t="s">
        <v>155</v>
      </c>
      <c r="B47" s="349" t="s">
        <v>404</v>
      </c>
      <c r="C47" s="348" t="s">
        <v>57</v>
      </c>
      <c r="D47" s="385"/>
      <c r="E47" s="348" t="s">
        <v>247</v>
      </c>
      <c r="F47" s="348" t="s">
        <v>331</v>
      </c>
      <c r="G47" s="348" t="s">
        <v>405</v>
      </c>
      <c r="H47" s="350" t="s">
        <v>57</v>
      </c>
    </row>
    <row r="48" spans="1:11" x14ac:dyDescent="0.4">
      <c r="A48" s="351" t="s">
        <v>410</v>
      </c>
      <c r="B48" s="340" t="s">
        <v>411</v>
      </c>
      <c r="C48" s="386">
        <v>368518.91999999993</v>
      </c>
      <c r="D48" s="386"/>
      <c r="E48" s="387">
        <v>37132.556009471999</v>
      </c>
      <c r="F48" s="387">
        <v>11062.407311155199</v>
      </c>
      <c r="G48" s="387">
        <v>154.71898337279998</v>
      </c>
      <c r="H48" s="354">
        <f>SUM(E48:G48)</f>
        <v>48349.682303999994</v>
      </c>
    </row>
    <row r="49" spans="1:8" x14ac:dyDescent="0.4">
      <c r="A49" s="351" t="s">
        <v>413</v>
      </c>
      <c r="B49" s="340" t="s">
        <v>414</v>
      </c>
      <c r="C49" s="388">
        <v>0</v>
      </c>
      <c r="D49" s="386"/>
      <c r="E49" s="387">
        <v>1377</v>
      </c>
      <c r="F49" s="387">
        <v>0</v>
      </c>
      <c r="G49" s="387">
        <v>0</v>
      </c>
      <c r="H49" s="354">
        <f>SUM(E49:G49)</f>
        <v>1377</v>
      </c>
    </row>
    <row r="50" spans="1:8" x14ac:dyDescent="0.4">
      <c r="A50" s="351">
        <v>2</v>
      </c>
      <c r="B50" s="340" t="s">
        <v>416</v>
      </c>
      <c r="C50" s="388">
        <v>15291.04</v>
      </c>
      <c r="D50" s="388"/>
      <c r="E50" s="387">
        <v>1540.7496560640002</v>
      </c>
      <c r="F50" s="387">
        <v>459.01500170240007</v>
      </c>
      <c r="G50" s="387">
        <v>6.4197902336000006</v>
      </c>
      <c r="H50" s="354">
        <f t="shared" ref="H50:H63" si="0">SUM(E50:G50)</f>
        <v>2006.1844480000002</v>
      </c>
    </row>
    <row r="51" spans="1:8" x14ac:dyDescent="0.4">
      <c r="A51" s="351">
        <v>3</v>
      </c>
      <c r="B51" s="340" t="s">
        <v>418</v>
      </c>
      <c r="C51" s="388">
        <v>16467.41</v>
      </c>
      <c r="D51" s="388"/>
      <c r="E51" s="387">
        <v>1659.2825794560003</v>
      </c>
      <c r="F51" s="387">
        <v>494.32793512960006</v>
      </c>
      <c r="G51" s="387">
        <v>6.9136774144000013</v>
      </c>
      <c r="H51" s="354">
        <f t="shared" si="0"/>
        <v>2160.5241920000003</v>
      </c>
    </row>
    <row r="52" spans="1:8" x14ac:dyDescent="0.4">
      <c r="A52" s="351">
        <f>+A51+1</f>
        <v>4</v>
      </c>
      <c r="B52" s="340" t="s">
        <v>420</v>
      </c>
      <c r="C52" s="388">
        <v>157579.48000000001</v>
      </c>
      <c r="D52" s="388"/>
      <c r="E52" s="387">
        <v>15877.960531968003</v>
      </c>
      <c r="F52" s="387">
        <v>4730.3090751488007</v>
      </c>
      <c r="G52" s="387">
        <v>66.15816888320002</v>
      </c>
      <c r="H52" s="354">
        <f t="shared" si="0"/>
        <v>20674.427776000004</v>
      </c>
    </row>
    <row r="53" spans="1:8" x14ac:dyDescent="0.4">
      <c r="A53" s="351">
        <v>5</v>
      </c>
      <c r="B53" s="340" t="s">
        <v>421</v>
      </c>
      <c r="C53" s="388">
        <v>238205.74000000002</v>
      </c>
      <c r="D53" s="388"/>
      <c r="E53" s="387">
        <v>24001.991491584005</v>
      </c>
      <c r="F53" s="387">
        <v>7150.5932985344016</v>
      </c>
      <c r="G53" s="387">
        <v>100.00829788160001</v>
      </c>
      <c r="H53" s="354">
        <f t="shared" si="0"/>
        <v>31252.593088000005</v>
      </c>
    </row>
    <row r="54" spans="1:8" x14ac:dyDescent="0.4">
      <c r="A54" s="351">
        <f>+A53+1</f>
        <v>6</v>
      </c>
      <c r="B54" s="340" t="s">
        <v>422</v>
      </c>
      <c r="C54" s="388">
        <v>476453.50000000006</v>
      </c>
      <c r="D54" s="388"/>
      <c r="E54" s="387">
        <v>48008.216985600011</v>
      </c>
      <c r="F54" s="387">
        <v>14302.447976960002</v>
      </c>
      <c r="G54" s="387">
        <v>200.03423744000006</v>
      </c>
      <c r="H54" s="354">
        <f t="shared" si="0"/>
        <v>62510.69920000001</v>
      </c>
    </row>
    <row r="55" spans="1:8" x14ac:dyDescent="0.4">
      <c r="A55" s="351">
        <f>+A54+1</f>
        <v>7</v>
      </c>
      <c r="B55" s="340" t="s">
        <v>423</v>
      </c>
      <c r="C55" s="388">
        <v>32090.579999999998</v>
      </c>
      <c r="D55" s="388"/>
      <c r="E55" s="387">
        <v>3233.4981857280004</v>
      </c>
      <c r="F55" s="387">
        <v>963.31300116480008</v>
      </c>
      <c r="G55" s="387">
        <v>13.472909107200001</v>
      </c>
      <c r="H55" s="354">
        <f t="shared" si="0"/>
        <v>4210.2840960000012</v>
      </c>
    </row>
    <row r="56" spans="1:8" x14ac:dyDescent="0.4">
      <c r="A56" s="351">
        <f>+A55+1</f>
        <v>8</v>
      </c>
      <c r="B56" s="340" t="s">
        <v>424</v>
      </c>
      <c r="C56" s="388">
        <v>20227.62</v>
      </c>
      <c r="D56" s="388"/>
      <c r="E56" s="387">
        <v>2038.1673553920002</v>
      </c>
      <c r="F56" s="387">
        <v>607.20402462720006</v>
      </c>
      <c r="G56" s="387">
        <v>8.4923639808000004</v>
      </c>
      <c r="H56" s="354">
        <f t="shared" si="0"/>
        <v>2653.8637440000002</v>
      </c>
    </row>
    <row r="57" spans="1:8" x14ac:dyDescent="0.4">
      <c r="A57" s="351">
        <f t="shared" ref="A57:A62" si="1">+A56+1</f>
        <v>9</v>
      </c>
      <c r="B57" s="340" t="s">
        <v>425</v>
      </c>
      <c r="C57" s="388">
        <v>9468.2999999999993</v>
      </c>
      <c r="D57" s="388"/>
      <c r="E57" s="387">
        <v>954.04105728000013</v>
      </c>
      <c r="F57" s="387">
        <v>284.22473164800004</v>
      </c>
      <c r="G57" s="387">
        <v>3.9751710720000006</v>
      </c>
      <c r="H57" s="354">
        <f t="shared" si="0"/>
        <v>1242.2409600000001</v>
      </c>
    </row>
    <row r="58" spans="1:8" x14ac:dyDescent="0.4">
      <c r="A58" s="351">
        <f t="shared" si="1"/>
        <v>10</v>
      </c>
      <c r="B58" s="340" t="s">
        <v>426</v>
      </c>
      <c r="C58" s="388">
        <v>580568.6</v>
      </c>
      <c r="D58" s="388"/>
      <c r="E58" s="387">
        <v>58499.021045759997</v>
      </c>
      <c r="F58" s="387">
        <v>17427.833353216</v>
      </c>
      <c r="G58" s="387">
        <v>243.74592102400001</v>
      </c>
      <c r="H58" s="354">
        <f>SUM(E58:G58)</f>
        <v>76170.600319999998</v>
      </c>
    </row>
    <row r="59" spans="1:8" x14ac:dyDescent="0.4">
      <c r="A59" s="351">
        <v>11</v>
      </c>
      <c r="B59" s="340" t="s">
        <v>427</v>
      </c>
      <c r="C59" s="388">
        <v>7900</v>
      </c>
      <c r="D59" s="388"/>
      <c r="E59" s="387">
        <v>796.01664000000005</v>
      </c>
      <c r="F59" s="387">
        <v>237.146624</v>
      </c>
      <c r="G59" s="387">
        <v>3.3167360000000001</v>
      </c>
      <c r="H59" s="354">
        <f t="shared" si="0"/>
        <v>1036.48</v>
      </c>
    </row>
    <row r="60" spans="1:8" x14ac:dyDescent="0.4">
      <c r="A60" s="351">
        <f>+A59+1</f>
        <v>12</v>
      </c>
      <c r="B60" s="340" t="s">
        <v>428</v>
      </c>
      <c r="C60" s="388">
        <v>5710.32</v>
      </c>
      <c r="D60" s="388"/>
      <c r="E60" s="387">
        <v>575.380979712</v>
      </c>
      <c r="F60" s="387">
        <v>171.41558353920001</v>
      </c>
      <c r="G60" s="387">
        <v>2.3974207488000001</v>
      </c>
      <c r="H60" s="354">
        <f t="shared" si="0"/>
        <v>749.193984</v>
      </c>
    </row>
    <row r="61" spans="1:8" x14ac:dyDescent="0.4">
      <c r="A61" s="351">
        <f t="shared" si="1"/>
        <v>13</v>
      </c>
      <c r="B61" s="340" t="s">
        <v>429</v>
      </c>
      <c r="C61" s="388">
        <v>298555.41000000003</v>
      </c>
      <c r="D61" s="388"/>
      <c r="E61" s="387">
        <v>30082.920800256008</v>
      </c>
      <c r="F61" s="387">
        <v>8962.2034884096029</v>
      </c>
      <c r="G61" s="387">
        <v>125.34550333440004</v>
      </c>
      <c r="H61" s="354">
        <f t="shared" si="0"/>
        <v>39170.469792000011</v>
      </c>
    </row>
    <row r="62" spans="1:8" x14ac:dyDescent="0.4">
      <c r="A62" s="351">
        <f t="shared" si="1"/>
        <v>14</v>
      </c>
      <c r="B62" s="340" t="s">
        <v>430</v>
      </c>
      <c r="C62" s="388">
        <v>11776.96</v>
      </c>
      <c r="D62" s="388"/>
      <c r="E62" s="387">
        <v>1186.665332736</v>
      </c>
      <c r="F62" s="387">
        <v>353.52738037760002</v>
      </c>
      <c r="G62" s="387">
        <v>4.9444388864000004</v>
      </c>
      <c r="H62" s="354">
        <f t="shared" si="0"/>
        <v>1545.1371519999998</v>
      </c>
    </row>
    <row r="63" spans="1:8" x14ac:dyDescent="0.4">
      <c r="A63" s="351">
        <v>16</v>
      </c>
      <c r="B63" s="340" t="s">
        <v>431</v>
      </c>
      <c r="C63" s="344">
        <v>163797.54</v>
      </c>
      <c r="D63" s="344"/>
      <c r="E63" s="389">
        <v>16504.502206464</v>
      </c>
      <c r="F63" s="389">
        <v>4916.9662823424005</v>
      </c>
      <c r="G63" s="389">
        <v>68.768759193600005</v>
      </c>
      <c r="H63" s="360">
        <f t="shared" si="0"/>
        <v>21490.237248000001</v>
      </c>
    </row>
    <row r="64" spans="1:8" x14ac:dyDescent="0.4">
      <c r="B64" s="361" t="s">
        <v>432</v>
      </c>
      <c r="C64" s="386">
        <f>SUM(C48:C63)</f>
        <v>2402611.42</v>
      </c>
      <c r="D64" s="386"/>
      <c r="E64" s="390">
        <f>SUM(E48:E63)</f>
        <v>243467.97085747204</v>
      </c>
      <c r="F64" s="390">
        <f t="shared" ref="F64:G64" si="2">SUM(F48:F63)</f>
        <v>72122.935067955215</v>
      </c>
      <c r="G64" s="390">
        <f t="shared" si="2"/>
        <v>1008.7123785728</v>
      </c>
      <c r="H64" s="391">
        <f>SUM(H48:H63)</f>
        <v>316599.618304</v>
      </c>
    </row>
    <row r="65" spans="1:8" x14ac:dyDescent="0.4">
      <c r="A65" s="351">
        <v>17</v>
      </c>
      <c r="B65" s="340" t="s">
        <v>433</v>
      </c>
      <c r="C65" s="345">
        <v>16856.026999999704</v>
      </c>
      <c r="D65" s="345"/>
      <c r="E65" s="387">
        <v>1600.3776901631702</v>
      </c>
      <c r="F65" s="387">
        <v>458.31756186111113</v>
      </c>
      <c r="G65" s="387">
        <v>8.6554903756798751</v>
      </c>
      <c r="H65" s="354">
        <f>SUM(E65:G65)-0.01</f>
        <v>2067.3407423999611</v>
      </c>
    </row>
    <row r="66" spans="1:8" x14ac:dyDescent="0.4">
      <c r="A66" s="351">
        <v>18</v>
      </c>
      <c r="B66" s="340" t="s">
        <v>434</v>
      </c>
      <c r="C66" s="344">
        <v>6060.7980000005628</v>
      </c>
      <c r="D66" s="344"/>
      <c r="E66" s="389">
        <v>610.6957037568568</v>
      </c>
      <c r="F66" s="389">
        <v>181.93642841089692</v>
      </c>
      <c r="G66" s="389">
        <v>2.5445654323202365</v>
      </c>
      <c r="H66" s="360">
        <f>SUM(E66:G66)</f>
        <v>795.17669760007402</v>
      </c>
    </row>
    <row r="67" spans="1:8" ht="15.4" thickBot="1" x14ac:dyDescent="0.45">
      <c r="A67" s="351"/>
      <c r="B67" s="361" t="s">
        <v>435</v>
      </c>
      <c r="C67" s="392">
        <f>SUM(C64:C66)</f>
        <v>2425528.2450000001</v>
      </c>
      <c r="D67" s="386"/>
      <c r="E67" s="393">
        <f>SUM(E64:E66)</f>
        <v>245679.04425139207</v>
      </c>
      <c r="F67" s="393">
        <f t="shared" ref="F67:H67" si="3">SUM(F64:F66)</f>
        <v>72763.189058227232</v>
      </c>
      <c r="G67" s="393">
        <f t="shared" si="3"/>
        <v>1019.9124343808002</v>
      </c>
      <c r="H67" s="394">
        <f t="shared" si="3"/>
        <v>319462.13574400003</v>
      </c>
    </row>
    <row r="68" spans="1:8" ht="15.4" thickTop="1" x14ac:dyDescent="0.4">
      <c r="A68" s="351">
        <v>19</v>
      </c>
      <c r="B68" s="340" t="s">
        <v>459</v>
      </c>
      <c r="C68" s="345"/>
      <c r="D68" s="345"/>
      <c r="E68" s="395">
        <v>-25348.77</v>
      </c>
      <c r="F68" s="387">
        <v>-17615.23</v>
      </c>
      <c r="G68" s="387"/>
      <c r="H68" s="354">
        <f>+E68+F68+G68</f>
        <v>-42964</v>
      </c>
    </row>
    <row r="69" spans="1:8" ht="15.4" thickBot="1" x14ac:dyDescent="0.45">
      <c r="B69" s="361" t="s">
        <v>436</v>
      </c>
      <c r="C69" s="390"/>
      <c r="D69" s="390"/>
      <c r="E69" s="396">
        <f>+E67+E68</f>
        <v>220330.27425139208</v>
      </c>
      <c r="F69" s="397">
        <f>+F67+F68</f>
        <v>55147.959058227236</v>
      </c>
      <c r="G69" s="397">
        <f>+G67+G68</f>
        <v>1019.9124343808002</v>
      </c>
      <c r="H69" s="398">
        <f>+H67+H68</f>
        <v>276498.13574400003</v>
      </c>
    </row>
    <row r="70" spans="1:8" ht="15.4" thickTop="1" x14ac:dyDescent="0.4">
      <c r="B70" s="362"/>
      <c r="C70" s="343"/>
      <c r="E70" s="425" t="s">
        <v>437</v>
      </c>
      <c r="F70" s="343"/>
      <c r="G70" s="343"/>
      <c r="H70" s="426"/>
    </row>
    <row r="71" spans="1:8" x14ac:dyDescent="0.4">
      <c r="D71" s="340"/>
      <c r="E71" s="351" t="s">
        <v>150</v>
      </c>
    </row>
    <row r="73" spans="1:8" x14ac:dyDescent="0.4">
      <c r="C73" s="342"/>
    </row>
  </sheetData>
  <mergeCells count="2">
    <mergeCell ref="A46:C46"/>
    <mergeCell ref="E46:H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B651-1C4F-4129-A7EF-FC08CFC27A89}">
  <dimension ref="A1:K43"/>
  <sheetViews>
    <sheetView topLeftCell="A9" workbookViewId="0">
      <selection sqref="A1:XFD1048576"/>
    </sheetView>
  </sheetViews>
  <sheetFormatPr defaultRowHeight="15" x14ac:dyDescent="0.4"/>
  <cols>
    <col min="1" max="1" width="28" bestFit="1" customWidth="1"/>
    <col min="3" max="3" width="6.5546875" bestFit="1" customWidth="1"/>
    <col min="4" max="4" width="9.6640625" bestFit="1" customWidth="1"/>
    <col min="5" max="5" width="1.77734375" customWidth="1"/>
    <col min="6" max="7" width="14.77734375" customWidth="1"/>
    <col min="8" max="8" width="1.77734375" customWidth="1"/>
    <col min="9" max="11" width="14.77734375" style="486" customWidth="1"/>
  </cols>
  <sheetData>
    <row r="1" spans="1:10" x14ac:dyDescent="0.4">
      <c r="A1" t="s">
        <v>393</v>
      </c>
    </row>
    <row r="2" spans="1:10" x14ac:dyDescent="0.4">
      <c r="A2" t="s">
        <v>395</v>
      </c>
    </row>
    <row r="3" spans="1:10" x14ac:dyDescent="0.4">
      <c r="A3" t="s">
        <v>396</v>
      </c>
    </row>
    <row r="5" spans="1:10" x14ac:dyDescent="0.4">
      <c r="A5" s="614" t="s">
        <v>55</v>
      </c>
      <c r="B5" s="614"/>
      <c r="C5" s="614"/>
      <c r="D5" s="614"/>
      <c r="E5" s="614"/>
      <c r="F5" s="614"/>
      <c r="G5" s="614"/>
      <c r="H5" s="614"/>
      <c r="I5" s="614"/>
      <c r="J5" s="614"/>
    </row>
    <row r="6" spans="1:10" ht="15.4" x14ac:dyDescent="0.45">
      <c r="A6" s="487" t="s">
        <v>637</v>
      </c>
      <c r="B6" s="353"/>
      <c r="C6" s="488" t="s">
        <v>402</v>
      </c>
      <c r="D6" s="488" t="s">
        <v>471</v>
      </c>
      <c r="F6" s="347" t="s">
        <v>403</v>
      </c>
      <c r="G6" s="489" t="s">
        <v>470</v>
      </c>
      <c r="I6" s="613" t="s">
        <v>181</v>
      </c>
      <c r="J6" s="613"/>
    </row>
    <row r="7" spans="1:10" x14ac:dyDescent="0.4">
      <c r="A7" s="490" t="s">
        <v>406</v>
      </c>
      <c r="B7" s="491" t="s">
        <v>407</v>
      </c>
      <c r="C7" s="491" t="s">
        <v>408</v>
      </c>
      <c r="D7" s="491" t="s">
        <v>409</v>
      </c>
      <c r="F7" s="492">
        <v>0.7</v>
      </c>
      <c r="G7" s="492">
        <v>0.3</v>
      </c>
      <c r="I7" s="493" t="s">
        <v>638</v>
      </c>
      <c r="J7" s="493" t="s">
        <v>82</v>
      </c>
    </row>
    <row r="8" spans="1:10" x14ac:dyDescent="0.4">
      <c r="A8" s="352" t="s">
        <v>412</v>
      </c>
      <c r="B8" s="353"/>
      <c r="C8" s="416">
        <v>11</v>
      </c>
      <c r="D8" s="417">
        <v>1352.87</v>
      </c>
      <c r="F8" s="486">
        <f>ROUND($D8*F$7,2)</f>
        <v>947.01</v>
      </c>
      <c r="G8" s="486">
        <f>ROUND($D8*G$7,2)</f>
        <v>405.86</v>
      </c>
      <c r="I8" s="486">
        <f>$C8*F8*12</f>
        <v>125005.32</v>
      </c>
      <c r="J8" s="486">
        <f>$C8*G8*12</f>
        <v>53573.520000000004</v>
      </c>
    </row>
    <row r="9" spans="1:10" x14ac:dyDescent="0.4">
      <c r="A9" s="355" t="s">
        <v>415</v>
      </c>
      <c r="B9" s="353"/>
      <c r="C9" s="416">
        <v>6</v>
      </c>
      <c r="D9" s="418">
        <v>860.33</v>
      </c>
      <c r="F9" s="486">
        <f t="shared" ref="F9:G11" si="0">ROUND($D9*F$7,2)</f>
        <v>602.23</v>
      </c>
      <c r="G9" s="486">
        <f t="shared" si="0"/>
        <v>258.10000000000002</v>
      </c>
      <c r="I9" s="486">
        <f t="shared" ref="I9:J11" si="1">$C9*F9*12</f>
        <v>43360.56</v>
      </c>
      <c r="J9" s="486">
        <f t="shared" si="1"/>
        <v>18583.2</v>
      </c>
    </row>
    <row r="10" spans="1:10" x14ac:dyDescent="0.4">
      <c r="A10" s="355" t="s">
        <v>417</v>
      </c>
      <c r="B10" s="353"/>
      <c r="C10" s="416">
        <v>6</v>
      </c>
      <c r="D10" s="418">
        <v>977.55</v>
      </c>
      <c r="F10" s="486">
        <f t="shared" si="0"/>
        <v>684.29</v>
      </c>
      <c r="G10" s="486">
        <f t="shared" si="0"/>
        <v>293.27</v>
      </c>
      <c r="I10" s="486">
        <f t="shared" si="1"/>
        <v>49268.88</v>
      </c>
      <c r="J10" s="486">
        <f t="shared" si="1"/>
        <v>21115.439999999999</v>
      </c>
    </row>
    <row r="11" spans="1:10" x14ac:dyDescent="0.4">
      <c r="A11" s="356" t="s">
        <v>419</v>
      </c>
      <c r="B11" s="357"/>
      <c r="C11" s="419">
        <v>30</v>
      </c>
      <c r="D11" s="420">
        <v>537.71</v>
      </c>
      <c r="F11" s="494">
        <f t="shared" si="0"/>
        <v>376.4</v>
      </c>
      <c r="G11" s="494">
        <f t="shared" si="0"/>
        <v>161.31</v>
      </c>
      <c r="I11" s="494">
        <f t="shared" si="1"/>
        <v>135504</v>
      </c>
      <c r="J11" s="494">
        <f t="shared" si="1"/>
        <v>58071.600000000006</v>
      </c>
    </row>
    <row r="12" spans="1:10" x14ac:dyDescent="0.4">
      <c r="C12" s="137">
        <f>SUM(C8:C11)</f>
        <v>53</v>
      </c>
      <c r="D12" s="358">
        <f>SUM(D8:D11)</f>
        <v>3728.46</v>
      </c>
      <c r="F12" s="358">
        <f>SUM(F8:F11)</f>
        <v>2609.9299999999998</v>
      </c>
      <c r="G12" s="358">
        <f>SUM(G8:G11)</f>
        <v>1118.54</v>
      </c>
      <c r="H12" s="358"/>
      <c r="I12" s="486">
        <f>SUM(I8:I11)</f>
        <v>353138.76</v>
      </c>
      <c r="J12" s="486">
        <f>SUM(J8:J11)</f>
        <v>151343.76</v>
      </c>
    </row>
    <row r="13" spans="1:10" x14ac:dyDescent="0.4">
      <c r="C13" s="421"/>
      <c r="G13" s="358">
        <f>SUM(F12:G12)</f>
        <v>3728.47</v>
      </c>
      <c r="J13" s="358">
        <f>SUM(I12:J12)</f>
        <v>504482.52</v>
      </c>
    </row>
    <row r="14" spans="1:10" x14ac:dyDescent="0.4">
      <c r="B14" s="359"/>
    </row>
    <row r="16" spans="1:10" ht="15.4" x14ac:dyDescent="0.45">
      <c r="A16" s="495" t="s">
        <v>639</v>
      </c>
      <c r="B16" s="346"/>
      <c r="C16" s="496" t="s">
        <v>402</v>
      </c>
      <c r="D16" s="496" t="s">
        <v>471</v>
      </c>
      <c r="F16" s="347" t="s">
        <v>403</v>
      </c>
      <c r="G16" s="489" t="s">
        <v>470</v>
      </c>
      <c r="I16" s="613" t="s">
        <v>181</v>
      </c>
      <c r="J16" s="613"/>
    </row>
    <row r="17" spans="1:10" x14ac:dyDescent="0.4">
      <c r="A17" s="490" t="s">
        <v>406</v>
      </c>
      <c r="B17" s="491" t="s">
        <v>407</v>
      </c>
      <c r="C17" s="491" t="s">
        <v>408</v>
      </c>
      <c r="D17" s="491" t="s">
        <v>409</v>
      </c>
      <c r="F17" s="492">
        <v>0.7</v>
      </c>
      <c r="G17" s="492">
        <v>0.3</v>
      </c>
      <c r="I17" s="493" t="s">
        <v>638</v>
      </c>
      <c r="J17" s="493" t="s">
        <v>82</v>
      </c>
    </row>
    <row r="18" spans="1:10" x14ac:dyDescent="0.4">
      <c r="A18" s="352" t="s">
        <v>412</v>
      </c>
      <c r="B18" s="353"/>
      <c r="C18" s="416">
        <v>19</v>
      </c>
      <c r="D18" s="417">
        <v>109.55</v>
      </c>
      <c r="F18" s="486">
        <f>ROUND($D18*F$17,2)</f>
        <v>76.69</v>
      </c>
      <c r="G18" s="486">
        <f>ROUND($D18*G$17,2)</f>
        <v>32.869999999999997</v>
      </c>
      <c r="I18" s="486">
        <f>$C18*F18*12</f>
        <v>17485.32</v>
      </c>
      <c r="J18" s="486">
        <f>$C18*G18*12</f>
        <v>7494.36</v>
      </c>
    </row>
    <row r="19" spans="1:10" x14ac:dyDescent="0.4">
      <c r="A19" s="355" t="s">
        <v>415</v>
      </c>
      <c r="B19" s="353"/>
      <c r="C19" s="416">
        <v>5</v>
      </c>
      <c r="D19" s="418">
        <v>77.87</v>
      </c>
      <c r="F19" s="486">
        <f t="shared" ref="F19:G21" si="2">ROUND($D19*F$17,2)</f>
        <v>54.51</v>
      </c>
      <c r="G19" s="486">
        <f t="shared" si="2"/>
        <v>23.36</v>
      </c>
      <c r="I19" s="486">
        <f t="shared" ref="I19:J21" si="3">$C19*F19*12</f>
        <v>3270.6000000000004</v>
      </c>
      <c r="J19" s="486">
        <f t="shared" si="3"/>
        <v>1401.6</v>
      </c>
    </row>
    <row r="20" spans="1:10" x14ac:dyDescent="0.4">
      <c r="A20" s="355" t="s">
        <v>417</v>
      </c>
      <c r="B20" s="353"/>
      <c r="C20" s="416">
        <v>10</v>
      </c>
      <c r="D20" s="418">
        <v>66.260000000000005</v>
      </c>
      <c r="F20" s="486">
        <f t="shared" si="2"/>
        <v>46.38</v>
      </c>
      <c r="G20" s="486">
        <f t="shared" si="2"/>
        <v>19.88</v>
      </c>
      <c r="I20" s="486">
        <f t="shared" si="3"/>
        <v>5565.6</v>
      </c>
      <c r="J20" s="486">
        <f t="shared" si="3"/>
        <v>2385.6</v>
      </c>
    </row>
    <row r="21" spans="1:10" x14ac:dyDescent="0.4">
      <c r="A21" s="356" t="s">
        <v>419</v>
      </c>
      <c r="B21" s="357"/>
      <c r="C21" s="419">
        <v>20</v>
      </c>
      <c r="D21" s="420">
        <v>31.98</v>
      </c>
      <c r="F21" s="486">
        <f t="shared" si="2"/>
        <v>22.39</v>
      </c>
      <c r="G21" s="486">
        <f t="shared" si="2"/>
        <v>9.59</v>
      </c>
      <c r="I21" s="494">
        <f t="shared" si="3"/>
        <v>5373.6</v>
      </c>
      <c r="J21" s="494">
        <f t="shared" si="3"/>
        <v>2301.6000000000004</v>
      </c>
    </row>
    <row r="22" spans="1:10" x14ac:dyDescent="0.4">
      <c r="C22" s="137">
        <f>SUM(C18:C21)</f>
        <v>54</v>
      </c>
      <c r="D22" s="358">
        <f>SUM(D18:D21)</f>
        <v>285.66000000000003</v>
      </c>
      <c r="F22" s="358">
        <f>SUM(F18:F21)</f>
        <v>199.96999999999997</v>
      </c>
      <c r="G22" s="358">
        <f>SUM(G18:G21)</f>
        <v>85.7</v>
      </c>
      <c r="H22" s="358"/>
      <c r="I22" s="486">
        <f>SUM(I18:I21)</f>
        <v>31695.119999999995</v>
      </c>
      <c r="J22" s="486">
        <f>SUM(J18:J21)</f>
        <v>13583.16</v>
      </c>
    </row>
    <row r="23" spans="1:10" x14ac:dyDescent="0.4">
      <c r="G23" s="358">
        <f>SUM(F22:G22)</f>
        <v>285.66999999999996</v>
      </c>
      <c r="J23" s="358">
        <f>SUM(I22:J22)</f>
        <v>45278.28</v>
      </c>
    </row>
    <row r="25" spans="1:10" x14ac:dyDescent="0.4">
      <c r="A25" s="614" t="s">
        <v>54</v>
      </c>
      <c r="B25" s="614"/>
      <c r="C25" s="614"/>
      <c r="D25" s="614"/>
      <c r="E25" s="614"/>
      <c r="F25" s="614"/>
      <c r="G25" s="614"/>
      <c r="H25" s="614"/>
      <c r="I25" s="614"/>
      <c r="J25" s="614"/>
    </row>
    <row r="26" spans="1:10" ht="15.4" x14ac:dyDescent="0.45">
      <c r="A26" s="487" t="s">
        <v>637</v>
      </c>
      <c r="B26" s="353"/>
      <c r="C26" s="488" t="s">
        <v>402</v>
      </c>
      <c r="D26" s="488" t="s">
        <v>471</v>
      </c>
      <c r="F26" s="347" t="s">
        <v>403</v>
      </c>
      <c r="G26" s="489" t="s">
        <v>470</v>
      </c>
      <c r="I26" s="613" t="s">
        <v>181</v>
      </c>
      <c r="J26" s="613"/>
    </row>
    <row r="27" spans="1:10" x14ac:dyDescent="0.4">
      <c r="A27" s="490" t="s">
        <v>406</v>
      </c>
      <c r="B27" s="491" t="s">
        <v>407</v>
      </c>
      <c r="C27" s="491" t="s">
        <v>408</v>
      </c>
      <c r="D27" s="491" t="s">
        <v>409</v>
      </c>
      <c r="F27" s="492">
        <v>0.7</v>
      </c>
      <c r="G27" s="492">
        <v>0.3</v>
      </c>
      <c r="I27" s="493" t="s">
        <v>638</v>
      </c>
      <c r="J27" s="493" t="s">
        <v>82</v>
      </c>
    </row>
    <row r="28" spans="1:10" x14ac:dyDescent="0.4">
      <c r="A28" s="352" t="s">
        <v>412</v>
      </c>
      <c r="B28" s="353"/>
      <c r="C28" s="416">
        <v>10</v>
      </c>
      <c r="D28" s="417">
        <v>1504.93</v>
      </c>
      <c r="F28" s="486">
        <f>ROUND($D28*F$7,2)</f>
        <v>1053.45</v>
      </c>
      <c r="G28" s="486">
        <f>ROUND($D28*G$7,2)</f>
        <v>451.48</v>
      </c>
      <c r="I28" s="486">
        <f>$C28*F28*12</f>
        <v>126414</v>
      </c>
      <c r="J28" s="486">
        <f>$C28*G28*12</f>
        <v>54177.600000000006</v>
      </c>
    </row>
    <row r="29" spans="1:10" x14ac:dyDescent="0.4">
      <c r="A29" s="355" t="s">
        <v>415</v>
      </c>
      <c r="B29" s="353"/>
      <c r="C29" s="416">
        <v>4</v>
      </c>
      <c r="D29" s="418">
        <v>957.03</v>
      </c>
      <c r="F29" s="486">
        <f t="shared" ref="F29:G31" si="4">ROUND($D29*F$7,2)</f>
        <v>669.92</v>
      </c>
      <c r="G29" s="486">
        <f t="shared" si="4"/>
        <v>287.11</v>
      </c>
      <c r="I29" s="486">
        <f t="shared" ref="I29:J31" si="5">$C29*F29*12</f>
        <v>32156.159999999996</v>
      </c>
      <c r="J29" s="486">
        <f t="shared" si="5"/>
        <v>13781.28</v>
      </c>
    </row>
    <row r="30" spans="1:10" x14ac:dyDescent="0.4">
      <c r="A30" s="355" t="s">
        <v>417</v>
      </c>
      <c r="B30" s="353"/>
      <c r="C30" s="416">
        <v>7</v>
      </c>
      <c r="D30" s="418">
        <v>1087.43</v>
      </c>
      <c r="F30" s="486">
        <f t="shared" si="4"/>
        <v>761.2</v>
      </c>
      <c r="G30" s="486">
        <f t="shared" si="4"/>
        <v>326.23</v>
      </c>
      <c r="I30" s="486">
        <f t="shared" si="5"/>
        <v>63940.800000000003</v>
      </c>
      <c r="J30" s="486">
        <f t="shared" si="5"/>
        <v>27403.32</v>
      </c>
    </row>
    <row r="31" spans="1:10" x14ac:dyDescent="0.4">
      <c r="A31" s="356" t="s">
        <v>419</v>
      </c>
      <c r="B31" s="357"/>
      <c r="C31" s="419">
        <v>47</v>
      </c>
      <c r="D31" s="420">
        <v>598.14</v>
      </c>
      <c r="F31" s="494">
        <f t="shared" si="4"/>
        <v>418.7</v>
      </c>
      <c r="G31" s="494">
        <f t="shared" si="4"/>
        <v>179.44</v>
      </c>
      <c r="I31" s="494">
        <f t="shared" si="5"/>
        <v>236146.8</v>
      </c>
      <c r="J31" s="494">
        <f t="shared" si="5"/>
        <v>101204.16</v>
      </c>
    </row>
    <row r="32" spans="1:10" x14ac:dyDescent="0.4">
      <c r="C32" s="137">
        <f>SUM(C28:C31)</f>
        <v>68</v>
      </c>
      <c r="D32" s="358">
        <f>SUM(D28:D31)</f>
        <v>4147.5300000000007</v>
      </c>
      <c r="F32" s="358">
        <f>SUM(F28:F31)</f>
        <v>2903.2699999999995</v>
      </c>
      <c r="G32" s="358">
        <f>SUM(G28:G31)</f>
        <v>1244.2600000000002</v>
      </c>
      <c r="H32" s="358"/>
      <c r="I32" s="486">
        <f>SUM(I28:I31)</f>
        <v>458657.76</v>
      </c>
      <c r="J32" s="486">
        <f>SUM(J28:J31)</f>
        <v>196566.36000000002</v>
      </c>
    </row>
    <row r="33" spans="1:10" x14ac:dyDescent="0.4">
      <c r="C33" s="421"/>
      <c r="G33" s="358">
        <f>SUM(F32:G32)</f>
        <v>4147.53</v>
      </c>
      <c r="J33" s="358">
        <f>SUM(I32:J32)</f>
        <v>655224.12</v>
      </c>
    </row>
    <row r="34" spans="1:10" x14ac:dyDescent="0.4">
      <c r="B34" s="359"/>
    </row>
    <row r="36" spans="1:10" ht="15.4" x14ac:dyDescent="0.45">
      <c r="A36" s="495" t="s">
        <v>639</v>
      </c>
      <c r="B36" s="346"/>
      <c r="C36" s="496" t="s">
        <v>402</v>
      </c>
      <c r="D36" s="496" t="s">
        <v>471</v>
      </c>
      <c r="F36" s="347" t="s">
        <v>403</v>
      </c>
      <c r="G36" s="489" t="s">
        <v>470</v>
      </c>
      <c r="I36" s="613" t="s">
        <v>181</v>
      </c>
      <c r="J36" s="613"/>
    </row>
    <row r="37" spans="1:10" x14ac:dyDescent="0.4">
      <c r="A37" s="490" t="s">
        <v>406</v>
      </c>
      <c r="B37" s="491" t="s">
        <v>407</v>
      </c>
      <c r="C37" s="491" t="s">
        <v>408</v>
      </c>
      <c r="D37" s="491" t="s">
        <v>409</v>
      </c>
      <c r="F37" s="492">
        <v>0.7</v>
      </c>
      <c r="G37" s="492">
        <v>0.3</v>
      </c>
      <c r="I37" s="493" t="s">
        <v>638</v>
      </c>
      <c r="J37" s="493" t="s">
        <v>82</v>
      </c>
    </row>
    <row r="38" spans="1:10" x14ac:dyDescent="0.4">
      <c r="A38" s="352" t="s">
        <v>412</v>
      </c>
      <c r="B38" s="353"/>
      <c r="C38" s="416">
        <v>19</v>
      </c>
      <c r="D38" s="417">
        <v>104.07</v>
      </c>
      <c r="F38" s="486">
        <f>ROUND($D38*F$17,2)</f>
        <v>72.849999999999994</v>
      </c>
      <c r="G38" s="486">
        <f>ROUND($D38*G$17,2)</f>
        <v>31.22</v>
      </c>
      <c r="I38" s="486">
        <f>$C38*F38*12</f>
        <v>16609.8</v>
      </c>
      <c r="J38" s="486">
        <f>$C38*G38*12</f>
        <v>7118.16</v>
      </c>
    </row>
    <row r="39" spans="1:10" x14ac:dyDescent="0.4">
      <c r="A39" s="355" t="s">
        <v>415</v>
      </c>
      <c r="B39" s="353"/>
      <c r="C39" s="416">
        <v>5</v>
      </c>
      <c r="D39" s="418">
        <v>73.98</v>
      </c>
      <c r="F39" s="486">
        <f t="shared" ref="F39:G41" si="6">ROUND($D39*F$17,2)</f>
        <v>51.79</v>
      </c>
      <c r="G39" s="486">
        <f t="shared" si="6"/>
        <v>22.19</v>
      </c>
      <c r="I39" s="486">
        <f t="shared" ref="I39:J41" si="7">$C39*F39*12</f>
        <v>3107.3999999999996</v>
      </c>
      <c r="J39" s="486">
        <f t="shared" si="7"/>
        <v>1331.4</v>
      </c>
    </row>
    <row r="40" spans="1:10" x14ac:dyDescent="0.4">
      <c r="A40" s="355" t="s">
        <v>417</v>
      </c>
      <c r="B40" s="353"/>
      <c r="C40" s="416">
        <v>9</v>
      </c>
      <c r="D40" s="418">
        <v>62.95</v>
      </c>
      <c r="F40" s="486">
        <f t="shared" si="6"/>
        <v>44.07</v>
      </c>
      <c r="G40" s="486">
        <f t="shared" si="6"/>
        <v>18.89</v>
      </c>
      <c r="I40" s="486">
        <f t="shared" si="7"/>
        <v>4759.5599999999995</v>
      </c>
      <c r="J40" s="486">
        <f t="shared" si="7"/>
        <v>2040.12</v>
      </c>
    </row>
    <row r="41" spans="1:10" x14ac:dyDescent="0.4">
      <c r="A41" s="356" t="s">
        <v>419</v>
      </c>
      <c r="B41" s="357"/>
      <c r="C41" s="419">
        <v>30</v>
      </c>
      <c r="D41" s="420">
        <v>30.38</v>
      </c>
      <c r="F41" s="486">
        <f t="shared" si="6"/>
        <v>21.27</v>
      </c>
      <c r="G41" s="486">
        <f t="shared" si="6"/>
        <v>9.11</v>
      </c>
      <c r="I41" s="494">
        <f t="shared" si="7"/>
        <v>7657.2000000000007</v>
      </c>
      <c r="J41" s="494">
        <f t="shared" si="7"/>
        <v>3279.5999999999995</v>
      </c>
    </row>
    <row r="42" spans="1:10" x14ac:dyDescent="0.4">
      <c r="C42" s="137">
        <f>SUM(C38:C41)</f>
        <v>63</v>
      </c>
      <c r="D42" s="358">
        <f>SUM(D38:D41)</f>
        <v>271.38</v>
      </c>
      <c r="F42" s="358">
        <f>SUM(F38:F41)</f>
        <v>189.98</v>
      </c>
      <c r="G42" s="358">
        <f>SUM(G38:G41)</f>
        <v>81.41</v>
      </c>
      <c r="H42" s="358"/>
      <c r="I42" s="486">
        <f>SUM(I38:I41)</f>
        <v>32133.959999999995</v>
      </c>
      <c r="J42" s="486">
        <f>SUM(J38:J41)</f>
        <v>13769.279999999999</v>
      </c>
    </row>
    <row r="43" spans="1:10" x14ac:dyDescent="0.4">
      <c r="G43" s="358">
        <f>SUM(F42:G42)</f>
        <v>271.39</v>
      </c>
      <c r="J43" s="358">
        <f>SUM(I42:J42)</f>
        <v>45903.239999999991</v>
      </c>
    </row>
  </sheetData>
  <mergeCells count="6">
    <mergeCell ref="I36:J36"/>
    <mergeCell ref="A5:J5"/>
    <mergeCell ref="I6:J6"/>
    <mergeCell ref="I16:J16"/>
    <mergeCell ref="A25:J25"/>
    <mergeCell ref="I26:J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6138-D87C-4A91-A19E-0B58A4A06F4F}">
  <dimension ref="B6:G11"/>
  <sheetViews>
    <sheetView workbookViewId="0">
      <selection activeCell="G7" sqref="G7"/>
    </sheetView>
  </sheetViews>
  <sheetFormatPr defaultColWidth="14.77734375" defaultRowHeight="15" x14ac:dyDescent="0.4"/>
  <cols>
    <col min="7" max="7" width="14.77734375" style="364"/>
  </cols>
  <sheetData>
    <row r="6" spans="2:7" x14ac:dyDescent="0.4">
      <c r="B6" s="116" t="s">
        <v>438</v>
      </c>
      <c r="G6" s="244">
        <f>'Emp Sal &amp; Wages'!M91</f>
        <v>527284.45899200009</v>
      </c>
    </row>
    <row r="7" spans="2:7" x14ac:dyDescent="0.4">
      <c r="B7" s="116" t="s">
        <v>439</v>
      </c>
      <c r="G7" s="213">
        <f>'SAO - DSC'!F20</f>
        <v>18000</v>
      </c>
    </row>
    <row r="8" spans="2:7" x14ac:dyDescent="0.4">
      <c r="B8" s="116" t="s">
        <v>440</v>
      </c>
      <c r="G8" s="138">
        <f>SUM(G6:G7)</f>
        <v>545284.45899200009</v>
      </c>
    </row>
    <row r="9" spans="2:7" x14ac:dyDescent="0.4">
      <c r="B9" s="116" t="s">
        <v>441</v>
      </c>
      <c r="G9" s="483">
        <v>7.6499999999999999E-2</v>
      </c>
    </row>
    <row r="10" spans="2:7" ht="15.4" thickBot="1" x14ac:dyDescent="0.45">
      <c r="B10" s="116" t="s">
        <v>442</v>
      </c>
      <c r="G10" s="363">
        <f>ROUND(G8*G9,0)</f>
        <v>41714</v>
      </c>
    </row>
    <row r="11" spans="2:7" ht="15.4" thickTop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3</vt:i4>
      </vt:variant>
    </vt:vector>
  </HeadingPairs>
  <TitlesOfParts>
    <vt:vector size="50" baseType="lpstr">
      <vt:lpstr>SAO - DSC</vt:lpstr>
      <vt:lpstr>Sheet1</vt:lpstr>
      <vt:lpstr>SAO - Op Ratio</vt:lpstr>
      <vt:lpstr>Comp</vt:lpstr>
      <vt:lpstr>Adj</vt:lpstr>
      <vt:lpstr>Emp Sal &amp; Wages</vt:lpstr>
      <vt:lpstr>Pension &amp; Benefits</vt:lpstr>
      <vt:lpstr>Emp Health &amp; Dentail Prem</vt:lpstr>
      <vt:lpstr>FICA</vt:lpstr>
      <vt:lpstr>WatPurch</vt:lpstr>
      <vt:lpstr>Dep Adj </vt:lpstr>
      <vt:lpstr>Dep Sch</vt:lpstr>
      <vt:lpstr>Sheet9</vt:lpstr>
      <vt:lpstr>Debt Sch</vt:lpstr>
      <vt:lpstr>Amort Sch's</vt:lpstr>
      <vt:lpstr>BA Existing Rates</vt:lpstr>
      <vt:lpstr>Prop BA - Year 1 Rates</vt:lpstr>
      <vt:lpstr>Prop BA - Year 2 Rates</vt:lpstr>
      <vt:lpstr>Prob BA - Yr 2</vt:lpstr>
      <vt:lpstr>Prop BA - Yr 1</vt:lpstr>
      <vt:lpstr>CurRates</vt:lpstr>
      <vt:lpstr>PropBA - DSC</vt:lpstr>
      <vt:lpstr>Customer Notice</vt:lpstr>
      <vt:lpstr>Rates Comp</vt:lpstr>
      <vt:lpstr>Yr 1 Rate Comp</vt:lpstr>
      <vt:lpstr>YR 2 Rate Comp</vt:lpstr>
      <vt:lpstr>Attachment Ment 3a Year 1</vt:lpstr>
      <vt:lpstr>Attachment 3b Year 2</vt:lpstr>
      <vt:lpstr>Customer Notice Year 1</vt:lpstr>
      <vt:lpstr>Customer Notice Year 2</vt:lpstr>
      <vt:lpstr>Coverage Calulations</vt:lpstr>
      <vt:lpstr>Table A</vt:lpstr>
      <vt:lpstr>Tble B</vt:lpstr>
      <vt:lpstr>Table C</vt:lpstr>
      <vt:lpstr>Table D Year 1</vt:lpstr>
      <vt:lpstr>Table D Year 2</vt:lpstr>
      <vt:lpstr>Sheet3</vt:lpstr>
      <vt:lpstr>Sheet4</vt:lpstr>
      <vt:lpstr>App A - Rate Comp Phase-In</vt:lpstr>
      <vt:lpstr>App A - Rate Comp 1 Year</vt:lpstr>
      <vt:lpstr>5-8-Inch</vt:lpstr>
      <vt:lpstr>1-Inch</vt:lpstr>
      <vt:lpstr>1.5-Inch</vt:lpstr>
      <vt:lpstr>2-Inch</vt:lpstr>
      <vt:lpstr>4-Inch</vt:lpstr>
      <vt:lpstr>6-Inch</vt:lpstr>
      <vt:lpstr>Sheet2</vt:lpstr>
      <vt:lpstr>CurRates!Print_Area</vt:lpstr>
      <vt:lpstr>'Debt Sch'!Print_Area</vt:lpstr>
      <vt:lpstr>'SAO - DSC'!Print_Area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2023-08-08T20:18:38Z</cp:lastPrinted>
  <dcterms:created xsi:type="dcterms:W3CDTF">2016-05-18T14:12:06Z</dcterms:created>
  <dcterms:modified xsi:type="dcterms:W3CDTF">2024-05-03T20:11:19Z</dcterms:modified>
</cp:coreProperties>
</file>